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codeName="{AE6600E7-7A62-396C-DE95-9942FA9DD81E}"/>
  <workbookPr showInkAnnotation="0" codeName="ThisWorkbook" autoCompressPictures="0"/>
  <mc:AlternateContent xmlns:mc="http://schemas.openxmlformats.org/markup-compatibility/2006">
    <mc:Choice Requires="x15">
      <x15ac:absPath xmlns:x15ac="http://schemas.microsoft.com/office/spreadsheetml/2010/11/ac" url="C:\Users\sswyns\OneDrive - Jaga NV\Bureaublad\selection tools\ready\"/>
    </mc:Choice>
  </mc:AlternateContent>
  <xr:revisionPtr revIDLastSave="0" documentId="13_ncr:1_{60599A1B-9E91-454C-835E-31A3324CCCAF}" xr6:coauthVersionLast="47" xr6:coauthVersionMax="47" xr10:uidLastSave="{00000000-0000-0000-0000-000000000000}"/>
  <workbookProtection workbookAlgorithmName="SHA-512" workbookHashValue="Dg03942FBfCSIZEy0k5o88KTKc05+O+7uY5ei+3W5swUVzkc1NKjM4DgDiHOXMlXgvVFy6+VXMQt9A2mVODrDA==" workbookSaltValue="maBXmi1FeTDzLJ1KPW8moA==" workbookSpinCount="100000" lockStructure="1"/>
  <bookViews>
    <workbookView xWindow="57480" yWindow="-120" windowWidth="29040" windowHeight="15840" xr2:uid="{00000000-000D-0000-FFFF-FFFF00000000}"/>
  </bookViews>
  <sheets>
    <sheet name="Briza 22 &amp; 26" sheetId="16" r:id="rId1"/>
    <sheet name="cal" sheetId="8" state="hidden" r:id="rId2"/>
    <sheet name="NL" sheetId="9" state="hidden" r:id="rId3"/>
    <sheet name="EN" sheetId="13" state="hidden" r:id="rId4"/>
    <sheet name="DE" sheetId="14" state="hidden" r:id="rId5"/>
    <sheet name="FR" sheetId="15" state="hidden" r:id="rId6"/>
    <sheet name="NR" sheetId="17" state="hidden" r:id="rId7"/>
    <sheet name="SP" sheetId="20" state="hidden" r:id="rId8"/>
    <sheet name="SW" sheetId="21" state="hidden" r:id="rId9"/>
    <sheet name="TS" sheetId="23" state="hidden" r:id="rId10"/>
    <sheet name="ExtraTaal1" sheetId="24" state="hidden" r:id="rId11"/>
    <sheet name="ExtraTaal2" sheetId="25" state="hidden" r:id="rId12"/>
    <sheet name="ExtraTaal3" sheetId="26" state="hidden" r:id="rId13"/>
  </sheets>
  <functionGroups builtInGroupCount="19"/>
  <definedNames>
    <definedName name="AdditNo">cal!$Z$4</definedName>
    <definedName name="AditPercent">cal!$AV$3:$AV$7</definedName>
    <definedName name="BrizaNo">cal!$AK$5</definedName>
    <definedName name="BulbNo">cal!$Z$3</definedName>
    <definedName name="ByPassFactor">cal!$AN$10</definedName>
    <definedName name="CalcNo">cal!$BK$17</definedName>
    <definedName name="CaseNo">cal!$Z$6</definedName>
    <definedName name="Celc1">cal!$O$15</definedName>
    <definedName name="Celc2">cal!$Q$15</definedName>
    <definedName name="CF_Addit">cal!$AS$3</definedName>
    <definedName name="CF_Altit">cal!$BL$6</definedName>
    <definedName name="CF_Case">cal!$X$12</definedName>
    <definedName name="CF_Regime_Cool_noExp">((cal!$BI$10-cal!$BI$11)/LN((cal!$BI$10-cal!$BI$12)/(cal!$BI$11-cal!$BI$12)))/((7-12)/LN((7-27)/(12-27)))</definedName>
    <definedName name="CF_Regime_Heat_noExp">((cal!$V$10-cal!$V$11)/LN((cal!$V$10-cal!$V$12)/(cal!$V$11-cal!$V$12)))/((45-40)/LN((45-20)/(40-20)))</definedName>
    <definedName name="CFMs">cal!$K$15</definedName>
    <definedName name="Cubics">cal!$N$15</definedName>
    <definedName name="dp">cal!$BK$10</definedName>
    <definedName name="dT_regime">cal!$BI$12-((cal!$BI$11+cal!$BI$10)/2)</definedName>
    <definedName name="FeetMins">cal!$M$15</definedName>
    <definedName name="FlowH2O">cal!$E$15</definedName>
    <definedName name="FreshH2O">cal!$AV$8</definedName>
    <definedName name="Geg_Altit">cal!$M$12</definedName>
    <definedName name="Geg_dP">cal!$M$9</definedName>
    <definedName name="hi">cal!$FJ$25</definedName>
    <definedName name="kgss">cal!$L$15</definedName>
    <definedName name="kPa">cal!$F$15</definedName>
    <definedName name="LangNo">cal!$Z$7</definedName>
    <definedName name="Lim_Cool">cal!$AC$8</definedName>
    <definedName name="Lim_dP">cal!$AC$5</definedName>
    <definedName name="Lim_Heat">cal!$AC$7</definedName>
    <definedName name="LIm_T">cal!$AC$6</definedName>
    <definedName name="MilInch">cal!$R$15</definedName>
    <definedName name="Mounts">cal!$BD$2:$BD$3</definedName>
    <definedName name="p_atm">cal!$BK$12</definedName>
    <definedName name="pvs_cool_in">611*EXP(17.27*((Tl_cool)/(Tl_cool+237.3)))</definedName>
    <definedName name="pvs_heat_in">611*EXP(17.27*((Tl_heat)/(Tl_heat+237.3)))</definedName>
    <definedName name="RH">cal!$K$14</definedName>
    <definedName name="T_kantel">cal!$AC$3</definedName>
    <definedName name="Tavg_cold">(cal!$BI$10+cal!$BI$11)/2</definedName>
    <definedName name="Tavg_hot">(cal!$V$10+cal!$V$11)/2</definedName>
    <definedName name="Tl_cool">cal!$BI$12</definedName>
    <definedName name="Tl_heat">cal!$V$12</definedName>
    <definedName name="Tr_cool">cal!$BI$11</definedName>
    <definedName name="Tr_heat">cal!$V$11</definedName>
    <definedName name="Tv_cool">cal!$BI$10</definedName>
    <definedName name="Tv_heat">cal!$V$10</definedName>
    <definedName name="Types">cal!$BC$3:$BC$7</definedName>
    <definedName name="UnitsNo">cal!$Z$5</definedName>
    <definedName name="VentNo">cal!$AL$5</definedName>
    <definedName name="Watts">cal!$D$15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9" i="8" l="1"/>
  <c r="HQ25" i="8" l="1"/>
  <c r="HQ27" i="8"/>
  <c r="HQ28" i="8"/>
  <c r="HQ29" i="8"/>
  <c r="HQ32" i="8"/>
  <c r="HQ33" i="8"/>
  <c r="HQ35" i="8"/>
  <c r="HQ36" i="8"/>
  <c r="HQ37" i="8"/>
  <c r="HQ40" i="8"/>
  <c r="HQ41" i="8"/>
  <c r="HQ43" i="8"/>
  <c r="HQ44" i="8"/>
  <c r="HQ45" i="8"/>
  <c r="HQ48" i="8"/>
  <c r="HQ49" i="8"/>
  <c r="HQ51" i="8"/>
  <c r="HQ52" i="8"/>
  <c r="HQ53" i="8"/>
  <c r="HQ56" i="8"/>
  <c r="HQ57" i="8"/>
  <c r="HQ59" i="8"/>
  <c r="HQ58" i="8" s="1"/>
  <c r="HQ60" i="8"/>
  <c r="HQ61" i="8"/>
  <c r="HQ24" i="8"/>
  <c r="FO24" i="8"/>
  <c r="HQ18" i="8"/>
  <c r="HP19" i="8"/>
  <c r="HQ19" i="8" s="1"/>
  <c r="HP20" i="8"/>
  <c r="HQ20" i="8" s="1"/>
  <c r="HP21" i="8"/>
  <c r="HQ21" i="8" s="1"/>
  <c r="HP22" i="8"/>
  <c r="HQ22" i="8" s="1"/>
  <c r="HP24" i="8"/>
  <c r="HP25" i="8"/>
  <c r="HP27" i="8"/>
  <c r="HP29" i="8"/>
  <c r="HP30" i="8"/>
  <c r="HP32" i="8"/>
  <c r="HP33" i="8"/>
  <c r="HP35" i="8"/>
  <c r="HP34" i="8" s="1"/>
  <c r="HP37" i="8"/>
  <c r="HP38" i="8"/>
  <c r="HP40" i="8"/>
  <c r="HP41" i="8"/>
  <c r="HP43" i="8"/>
  <c r="HP45" i="8"/>
  <c r="HP46" i="8"/>
  <c r="HP48" i="8"/>
  <c r="HP49" i="8"/>
  <c r="HP51" i="8"/>
  <c r="HP53" i="8"/>
  <c r="HP54" i="8"/>
  <c r="HP56" i="8"/>
  <c r="HP57" i="8"/>
  <c r="HP59" i="8"/>
  <c r="HP58" i="8" s="1"/>
  <c r="HP61" i="8"/>
  <c r="HP60" i="8" s="1"/>
  <c r="HP62" i="8"/>
  <c r="HP18" i="8"/>
  <c r="IG62" i="8"/>
  <c r="IG61" i="8"/>
  <c r="IG60" i="8"/>
  <c r="IG59" i="8"/>
  <c r="IG58" i="8"/>
  <c r="IG57" i="8"/>
  <c r="IG56" i="8"/>
  <c r="IG54" i="8"/>
  <c r="IG53" i="8"/>
  <c r="IG52" i="8"/>
  <c r="IG51" i="8"/>
  <c r="IG50" i="8"/>
  <c r="IG49" i="8"/>
  <c r="IG48" i="8"/>
  <c r="IG46" i="8"/>
  <c r="IG45" i="8"/>
  <c r="IG44" i="8"/>
  <c r="IG43" i="8"/>
  <c r="IG42" i="8"/>
  <c r="IG41" i="8"/>
  <c r="IG40" i="8"/>
  <c r="IG38" i="8"/>
  <c r="IG37" i="8"/>
  <c r="IG36" i="8"/>
  <c r="IG35" i="8"/>
  <c r="IG34" i="8"/>
  <c r="IG33" i="8"/>
  <c r="IG32" i="8"/>
  <c r="IG30" i="8"/>
  <c r="IG29" i="8"/>
  <c r="IG28" i="8"/>
  <c r="IG27" i="8"/>
  <c r="IG26" i="8"/>
  <c r="IG25" i="8"/>
  <c r="IG24" i="8"/>
  <c r="IG22" i="8"/>
  <c r="IG21" i="8"/>
  <c r="IG20" i="8"/>
  <c r="IG19" i="8"/>
  <c r="IG18" i="8"/>
  <c r="FN27" i="8"/>
  <c r="R15" i="8"/>
  <c r="HP44" i="8" l="1"/>
  <c r="HP52" i="8"/>
  <c r="HQ34" i="8"/>
  <c r="HP50" i="8"/>
  <c r="HQ50" i="8"/>
  <c r="HQ26" i="8"/>
  <c r="HP26" i="8"/>
  <c r="HP28" i="8"/>
  <c r="HP42" i="8"/>
  <c r="HQ42" i="8"/>
  <c r="D14" i="23"/>
  <c r="H14" i="23"/>
  <c r="E14" i="23"/>
  <c r="M14" i="23"/>
  <c r="N14" i="23"/>
  <c r="O14" i="23"/>
  <c r="P14" i="23"/>
  <c r="Q14" i="23"/>
  <c r="R14" i="23"/>
  <c r="A9" i="23"/>
  <c r="A8" i="23"/>
  <c r="BF5" i="8"/>
  <c r="BF4" i="8"/>
  <c r="BE5" i="8"/>
  <c r="BE4" i="8"/>
  <c r="BF2" i="8"/>
  <c r="BE2" i="8"/>
  <c r="Z6" i="8"/>
  <c r="BK63" i="8" s="1"/>
  <c r="Z4" i="8"/>
  <c r="Z7" i="8"/>
  <c r="BD3" i="8" s="1"/>
  <c r="Q63" i="26"/>
  <c r="M55" i="26"/>
  <c r="M47" i="26"/>
  <c r="M39" i="26"/>
  <c r="M31" i="26"/>
  <c r="M23" i="26"/>
  <c r="M15" i="26"/>
  <c r="R14" i="26"/>
  <c r="Q14" i="26"/>
  <c r="P14" i="26"/>
  <c r="O14" i="26"/>
  <c r="N14" i="26"/>
  <c r="M14" i="26"/>
  <c r="H14" i="26"/>
  <c r="E14" i="26"/>
  <c r="I14" i="26" s="1"/>
  <c r="D14" i="26"/>
  <c r="F10" i="26"/>
  <c r="F9" i="26"/>
  <c r="F8" i="26"/>
  <c r="E8" i="26"/>
  <c r="K9" i="26" s="1"/>
  <c r="Q63" i="25"/>
  <c r="M55" i="25"/>
  <c r="M47" i="25"/>
  <c r="M39" i="25"/>
  <c r="M31" i="25"/>
  <c r="M23" i="25"/>
  <c r="M15" i="25"/>
  <c r="R14" i="25"/>
  <c r="Q14" i="25"/>
  <c r="P14" i="25"/>
  <c r="O14" i="25"/>
  <c r="N14" i="25"/>
  <c r="M14" i="25"/>
  <c r="H14" i="25"/>
  <c r="E14" i="25"/>
  <c r="I14" i="25" s="1"/>
  <c r="D14" i="25"/>
  <c r="F10" i="25"/>
  <c r="F9" i="25"/>
  <c r="F8" i="25"/>
  <c r="E8" i="25"/>
  <c r="K9" i="25" s="1"/>
  <c r="Q63" i="24"/>
  <c r="M55" i="24"/>
  <c r="M47" i="24"/>
  <c r="M39" i="24"/>
  <c r="M31" i="24"/>
  <c r="M23" i="24"/>
  <c r="M15" i="24"/>
  <c r="R14" i="24"/>
  <c r="Q14" i="24"/>
  <c r="P14" i="24"/>
  <c r="O14" i="24"/>
  <c r="N14" i="24"/>
  <c r="M14" i="24"/>
  <c r="H14" i="24"/>
  <c r="E14" i="24"/>
  <c r="I14" i="24" s="1"/>
  <c r="D14" i="24"/>
  <c r="F10" i="24"/>
  <c r="F9" i="24"/>
  <c r="F8" i="24"/>
  <c r="E8" i="24"/>
  <c r="K9" i="24" s="1"/>
  <c r="R14" i="21"/>
  <c r="Q14" i="21"/>
  <c r="P14" i="21"/>
  <c r="O14" i="21"/>
  <c r="N14" i="21"/>
  <c r="M14" i="21"/>
  <c r="H14" i="21"/>
  <c r="D14" i="21"/>
  <c r="E14" i="21"/>
  <c r="BM47" i="8" l="1"/>
  <c r="BK23" i="8"/>
  <c r="BM55" i="8"/>
  <c r="BK39" i="8"/>
  <c r="BM31" i="8"/>
  <c r="BK47" i="8"/>
  <c r="BK55" i="8"/>
  <c r="BK31" i="8"/>
  <c r="BM23" i="8"/>
  <c r="BM39" i="8"/>
  <c r="BM63" i="8"/>
  <c r="AF7" i="8"/>
  <c r="AF10" i="8"/>
  <c r="AF6" i="8"/>
  <c r="AF9" i="8"/>
  <c r="AF11" i="8"/>
  <c r="AF5" i="8"/>
  <c r="AF8" i="8"/>
  <c r="AF12" i="8"/>
  <c r="I12" i="8"/>
  <c r="H11" i="8"/>
  <c r="G14" i="8"/>
  <c r="M11" i="8"/>
  <c r="R7" i="8"/>
  <c r="J6" i="8"/>
  <c r="I5" i="8"/>
  <c r="K16" i="8"/>
  <c r="T16" i="8"/>
  <c r="E17" i="8"/>
  <c r="I17" i="8"/>
  <c r="M17" i="8"/>
  <c r="F23" i="8"/>
  <c r="J23" i="8"/>
  <c r="HD39" i="8"/>
  <c r="B63" i="8"/>
  <c r="B68" i="8"/>
  <c r="AC7" i="8"/>
  <c r="AI2" i="8"/>
  <c r="I11" i="8"/>
  <c r="P7" i="8"/>
  <c r="H5" i="8"/>
  <c r="U16" i="8"/>
  <c r="L17" i="8"/>
  <c r="I23" i="8"/>
  <c r="HD47" i="8"/>
  <c r="AC8" i="8"/>
  <c r="B6" i="8"/>
  <c r="H12" i="8"/>
  <c r="J13" i="8"/>
  <c r="G9" i="8"/>
  <c r="N11" i="8"/>
  <c r="S7" i="8"/>
  <c r="G6" i="8"/>
  <c r="J5" i="8"/>
  <c r="L16" i="8"/>
  <c r="V16" i="8"/>
  <c r="F17" i="8"/>
  <c r="J17" i="8"/>
  <c r="C23" i="8"/>
  <c r="G23" i="8"/>
  <c r="K23" i="8"/>
  <c r="HD31" i="8"/>
  <c r="B66" i="8"/>
  <c r="AC5" i="8"/>
  <c r="AC10" i="8"/>
  <c r="AF1" i="8"/>
  <c r="BD2" i="8"/>
  <c r="J12" i="8"/>
  <c r="H13" i="8"/>
  <c r="N8" i="8"/>
  <c r="I6" i="8"/>
  <c r="C16" i="8"/>
  <c r="D17" i="8"/>
  <c r="H17" i="8"/>
  <c r="E23" i="8"/>
  <c r="M23" i="8"/>
  <c r="B64" i="8"/>
  <c r="AC9" i="8"/>
  <c r="AK3" i="8" s="1"/>
  <c r="B4" i="8"/>
  <c r="J11" i="8"/>
  <c r="I13" i="8"/>
  <c r="M8" i="8"/>
  <c r="Q7" i="8"/>
  <c r="H6" i="8"/>
  <c r="G5" i="8"/>
  <c r="B16" i="8"/>
  <c r="M16" i="8"/>
  <c r="C17" i="8"/>
  <c r="G17" i="8"/>
  <c r="K17" i="8"/>
  <c r="D23" i="8"/>
  <c r="H23" i="8"/>
  <c r="L23" i="8"/>
  <c r="HD55" i="8"/>
  <c r="B65" i="8"/>
  <c r="AC6" i="8"/>
  <c r="AC11" i="8"/>
  <c r="AF2" i="8"/>
  <c r="K10" i="25"/>
  <c r="E9" i="25"/>
  <c r="K10" i="26"/>
  <c r="E9" i="26"/>
  <c r="E10" i="26"/>
  <c r="K8" i="26"/>
  <c r="E10" i="25"/>
  <c r="K8" i="25"/>
  <c r="E9" i="24"/>
  <c r="K10" i="24"/>
  <c r="E10" i="24"/>
  <c r="K8" i="24"/>
  <c r="Q63" i="23"/>
  <c r="M55" i="23"/>
  <c r="M47" i="23"/>
  <c r="M39" i="23"/>
  <c r="M31" i="23"/>
  <c r="M23" i="23"/>
  <c r="M15" i="23"/>
  <c r="I14" i="23"/>
  <c r="F10" i="23"/>
  <c r="F9" i="23"/>
  <c r="F8" i="23"/>
  <c r="E8" i="23"/>
  <c r="K9" i="23" s="1"/>
  <c r="K8" i="23" l="1"/>
  <c r="E9" i="23"/>
  <c r="K10" i="23"/>
  <c r="E10" i="23"/>
  <c r="Q63" i="21" l="1"/>
  <c r="M55" i="21"/>
  <c r="M47" i="21"/>
  <c r="M39" i="21"/>
  <c r="M31" i="21"/>
  <c r="M23" i="21"/>
  <c r="M15" i="21"/>
  <c r="I14" i="21"/>
  <c r="F10" i="21"/>
  <c r="F9" i="21"/>
  <c r="F8" i="21"/>
  <c r="E8" i="21"/>
  <c r="K8" i="21" s="1"/>
  <c r="AL5" i="8"/>
  <c r="K9" i="21" l="1"/>
  <c r="E9" i="21"/>
  <c r="K10" i="21"/>
  <c r="E10" i="21"/>
  <c r="E81" i="8"/>
  <c r="E82" i="8"/>
  <c r="E80" i="8"/>
  <c r="E79" i="8"/>
  <c r="E77" i="8"/>
  <c r="E78" i="8"/>
  <c r="E76" i="8"/>
  <c r="E75" i="8"/>
  <c r="E74" i="8"/>
  <c r="E72" i="8"/>
  <c r="E73" i="8"/>
  <c r="BR19" i="8" l="1"/>
  <c r="BR21" i="8"/>
  <c r="BR22" i="8"/>
  <c r="BR20" i="8"/>
  <c r="X12" i="8" l="1"/>
  <c r="K12" i="8" l="1"/>
  <c r="K10" i="8"/>
  <c r="K11" i="8"/>
  <c r="J8" i="24" l="1"/>
  <c r="J8" i="26"/>
  <c r="J8" i="25"/>
  <c r="J9" i="26"/>
  <c r="J9" i="25"/>
  <c r="J9" i="24"/>
  <c r="J10" i="25"/>
  <c r="J10" i="24"/>
  <c r="J10" i="26"/>
  <c r="J8" i="21"/>
  <c r="J8" i="23"/>
  <c r="J10" i="21"/>
  <c r="J10" i="23"/>
  <c r="J9" i="21"/>
  <c r="J9" i="23"/>
  <c r="E11" i="8"/>
  <c r="E12" i="8"/>
  <c r="E10" i="8"/>
  <c r="F14" i="23" l="1"/>
  <c r="G14" i="23"/>
  <c r="D9" i="26"/>
  <c r="D9" i="24"/>
  <c r="D9" i="25"/>
  <c r="G14" i="25"/>
  <c r="F14" i="25"/>
  <c r="D8" i="25"/>
  <c r="D8" i="26"/>
  <c r="D8" i="24"/>
  <c r="F14" i="21"/>
  <c r="G14" i="21"/>
  <c r="G14" i="26"/>
  <c r="F14" i="26"/>
  <c r="D10" i="25"/>
  <c r="D10" i="24"/>
  <c r="D10" i="26"/>
  <c r="G14" i="24"/>
  <c r="F14" i="24"/>
  <c r="D8" i="21"/>
  <c r="D8" i="23"/>
  <c r="D10" i="21"/>
  <c r="D10" i="23"/>
  <c r="D9" i="21"/>
  <c r="D9" i="23"/>
  <c r="BW62" i="8"/>
  <c r="BW61" i="8"/>
  <c r="BW59" i="8"/>
  <c r="BW54" i="8"/>
  <c r="BW53" i="8"/>
  <c r="BW51" i="8"/>
  <c r="BW46" i="8"/>
  <c r="BW45" i="8"/>
  <c r="BW43" i="8"/>
  <c r="C14" i="24" l="1"/>
  <c r="C14" i="23"/>
  <c r="C14" i="26"/>
  <c r="C14" i="21"/>
  <c r="C14" i="25"/>
  <c r="M55" i="20"/>
  <c r="M47" i="20"/>
  <c r="M39" i="20"/>
  <c r="M31" i="20"/>
  <c r="M23" i="20"/>
  <c r="M15" i="20"/>
  <c r="M55" i="17"/>
  <c r="M47" i="17"/>
  <c r="M39" i="17"/>
  <c r="M31" i="17"/>
  <c r="M23" i="17"/>
  <c r="M15" i="17"/>
  <c r="M55" i="15"/>
  <c r="M47" i="15"/>
  <c r="M39" i="15"/>
  <c r="M31" i="15"/>
  <c r="M23" i="15"/>
  <c r="M15" i="15"/>
  <c r="M55" i="14"/>
  <c r="M47" i="14"/>
  <c r="M39" i="14"/>
  <c r="M31" i="14"/>
  <c r="M23" i="14"/>
  <c r="M15" i="14"/>
  <c r="M55" i="13"/>
  <c r="M47" i="13"/>
  <c r="M39" i="13"/>
  <c r="M31" i="13"/>
  <c r="M23" i="13"/>
  <c r="M15" i="13"/>
  <c r="M55" i="9"/>
  <c r="M47" i="9"/>
  <c r="M39" i="9"/>
  <c r="M31" i="9"/>
  <c r="M23" i="9"/>
  <c r="M15" i="9"/>
  <c r="BE3" i="8" l="1"/>
  <c r="BF3" i="8"/>
  <c r="BG3" i="8"/>
  <c r="BH3" i="8"/>
  <c r="BI3" i="8"/>
  <c r="BJ3" i="8"/>
  <c r="BJ2" i="8"/>
  <c r="BI2" i="8"/>
  <c r="BH2" i="8"/>
  <c r="BG2" i="8"/>
  <c r="Z8" i="8" l="1"/>
  <c r="F14" i="8" l="1"/>
  <c r="H15" i="8"/>
  <c r="Q63" i="20" l="1"/>
  <c r="R14" i="20"/>
  <c r="Q14" i="20"/>
  <c r="P14" i="20"/>
  <c r="O14" i="20"/>
  <c r="N14" i="20"/>
  <c r="M14" i="20"/>
  <c r="H14" i="20"/>
  <c r="E14" i="20"/>
  <c r="I14" i="20" s="1"/>
  <c r="D14" i="20"/>
  <c r="F10" i="20"/>
  <c r="F9" i="20"/>
  <c r="F8" i="20"/>
  <c r="E8" i="20"/>
  <c r="Q63" i="17"/>
  <c r="R14" i="17"/>
  <c r="Q14" i="17"/>
  <c r="P14" i="17"/>
  <c r="O14" i="17"/>
  <c r="N14" i="17"/>
  <c r="M14" i="17"/>
  <c r="H14" i="17"/>
  <c r="E14" i="17"/>
  <c r="I14" i="17" s="1"/>
  <c r="D14" i="17"/>
  <c r="F10" i="17"/>
  <c r="F9" i="17"/>
  <c r="F8" i="17"/>
  <c r="E8" i="17"/>
  <c r="K9" i="17" s="1"/>
  <c r="Q63" i="15"/>
  <c r="R14" i="15"/>
  <c r="Q14" i="15"/>
  <c r="P14" i="15"/>
  <c r="O14" i="15"/>
  <c r="N14" i="15"/>
  <c r="M14" i="15"/>
  <c r="H14" i="15"/>
  <c r="E14" i="15"/>
  <c r="I14" i="15" s="1"/>
  <c r="D14" i="15"/>
  <c r="A10" i="15"/>
  <c r="F10" i="15" s="1"/>
  <c r="F9" i="15"/>
  <c r="A9" i="15"/>
  <c r="E8" i="15"/>
  <c r="A8" i="15"/>
  <c r="F8" i="15" s="1"/>
  <c r="Q63" i="14"/>
  <c r="R14" i="14"/>
  <c r="Q14" i="14"/>
  <c r="P14" i="14"/>
  <c r="O14" i="14"/>
  <c r="N14" i="14"/>
  <c r="M14" i="14"/>
  <c r="H14" i="14"/>
  <c r="E14" i="14"/>
  <c r="I14" i="14" s="1"/>
  <c r="D14" i="14"/>
  <c r="A10" i="14"/>
  <c r="F10" i="14" s="1"/>
  <c r="A9" i="14"/>
  <c r="F9" i="14" s="1"/>
  <c r="E8" i="14"/>
  <c r="E10" i="14" s="1"/>
  <c r="A8" i="14"/>
  <c r="F8" i="14" s="1"/>
  <c r="Q63" i="13"/>
  <c r="R14" i="13"/>
  <c r="S16" i="8" s="1"/>
  <c r="Q14" i="13"/>
  <c r="R16" i="8" s="1"/>
  <c r="P14" i="13"/>
  <c r="Q16" i="8" s="1"/>
  <c r="O14" i="13"/>
  <c r="P16" i="8" s="1"/>
  <c r="N14" i="13"/>
  <c r="O16" i="8" s="1"/>
  <c r="M14" i="13"/>
  <c r="N16" i="8" s="1"/>
  <c r="H14" i="13"/>
  <c r="I16" i="8" s="1"/>
  <c r="E14" i="13"/>
  <c r="D14" i="13"/>
  <c r="E16" i="8" s="1"/>
  <c r="F10" i="13"/>
  <c r="F9" i="13"/>
  <c r="F8" i="13"/>
  <c r="E8" i="13"/>
  <c r="K9" i="13" s="1"/>
  <c r="Q63" i="9"/>
  <c r="R14" i="9"/>
  <c r="Q14" i="9"/>
  <c r="P14" i="9"/>
  <c r="O14" i="9"/>
  <c r="N14" i="9"/>
  <c r="M14" i="9"/>
  <c r="H14" i="9"/>
  <c r="E14" i="9"/>
  <c r="I14" i="9" s="1"/>
  <c r="D14" i="9"/>
  <c r="A10" i="9"/>
  <c r="F10" i="9" s="1"/>
  <c r="F9" i="9"/>
  <c r="A9" i="9"/>
  <c r="E8" i="9"/>
  <c r="A8" i="9"/>
  <c r="F8" i="9" s="1"/>
  <c r="FN62" i="8"/>
  <c r="EV62" i="8"/>
  <c r="EQ62" i="8"/>
  <c r="EP62" i="8"/>
  <c r="EO62" i="8"/>
  <c r="EN62" i="8"/>
  <c r="EM62" i="8"/>
  <c r="EL62" i="8"/>
  <c r="EK62" i="8"/>
  <c r="EJ62" i="8"/>
  <c r="EI62" i="8"/>
  <c r="EH62" i="8"/>
  <c r="EG62" i="8"/>
  <c r="EF62" i="8"/>
  <c r="EE62" i="8"/>
  <c r="ED62" i="8"/>
  <c r="BY62" i="8"/>
  <c r="BX62" i="8"/>
  <c r="BS62" i="8"/>
  <c r="BR62" i="8"/>
  <c r="BD62" i="8"/>
  <c r="AZ62" i="8"/>
  <c r="AV62" i="8"/>
  <c r="AR62" i="8"/>
  <c r="BH62" i="8" s="1"/>
  <c r="FO61" i="8"/>
  <c r="FN61" i="8"/>
  <c r="EV61" i="8"/>
  <c r="CZ61" i="8"/>
  <c r="BY61" i="8"/>
  <c r="BX61" i="8"/>
  <c r="BS61" i="8"/>
  <c r="BR61" i="8"/>
  <c r="BH61" i="8"/>
  <c r="BD61" i="8"/>
  <c r="AZ61" i="8"/>
  <c r="AV61" i="8"/>
  <c r="BH60" i="8"/>
  <c r="AN60" i="8"/>
  <c r="BD60" i="8" s="1"/>
  <c r="AJ60" i="8"/>
  <c r="AZ60" i="8" s="1"/>
  <c r="AF60" i="8"/>
  <c r="AV60" i="8" s="1"/>
  <c r="FO59" i="8"/>
  <c r="FN59" i="8"/>
  <c r="EV59" i="8"/>
  <c r="CZ59" i="8"/>
  <c r="BX59" i="8"/>
  <c r="BR59" i="8"/>
  <c r="BH59" i="8"/>
  <c r="BD59" i="8"/>
  <c r="AZ59" i="8"/>
  <c r="AV59" i="8"/>
  <c r="AR58" i="8"/>
  <c r="BH58" i="8" s="1"/>
  <c r="AN58" i="8"/>
  <c r="BD58" i="8" s="1"/>
  <c r="AJ58" i="8"/>
  <c r="AZ58" i="8" s="1"/>
  <c r="AF58" i="8"/>
  <c r="AV58" i="8" s="1"/>
  <c r="FO57" i="8"/>
  <c r="FN57" i="8"/>
  <c r="EV57" i="8"/>
  <c r="BY57" i="8"/>
  <c r="BV57" i="8"/>
  <c r="BR57" i="8"/>
  <c r="BP57" i="8"/>
  <c r="BH57" i="8"/>
  <c r="BD57" i="8"/>
  <c r="AZ57" i="8"/>
  <c r="AV57" i="8"/>
  <c r="FO56" i="8"/>
  <c r="FN56" i="8"/>
  <c r="EV56" i="8"/>
  <c r="BY56" i="8"/>
  <c r="BV56" i="8"/>
  <c r="BR56" i="8"/>
  <c r="BP56" i="8"/>
  <c r="BH56" i="8"/>
  <c r="BD56" i="8"/>
  <c r="AZ56" i="8"/>
  <c r="AV56" i="8"/>
  <c r="FA55" i="8"/>
  <c r="ED55" i="8"/>
  <c r="DP55" i="8"/>
  <c r="DB55" i="8"/>
  <c r="CN55" i="8"/>
  <c r="BZ55" i="8"/>
  <c r="BH55" i="8"/>
  <c r="BD55" i="8"/>
  <c r="AZ55" i="8"/>
  <c r="AV55" i="8"/>
  <c r="FN54" i="8"/>
  <c r="EV54" i="8"/>
  <c r="EQ54" i="8"/>
  <c r="EP54" i="8"/>
  <c r="EO54" i="8"/>
  <c r="EN54" i="8"/>
  <c r="EM54" i="8"/>
  <c r="EL54" i="8"/>
  <c r="EK54" i="8"/>
  <c r="EJ54" i="8"/>
  <c r="EI54" i="8"/>
  <c r="EH54" i="8"/>
  <c r="EG54" i="8"/>
  <c r="EF54" i="8"/>
  <c r="EE54" i="8"/>
  <c r="ED54" i="8"/>
  <c r="BY54" i="8"/>
  <c r="BX54" i="8"/>
  <c r="BS54" i="8"/>
  <c r="BR54" i="8"/>
  <c r="BD54" i="8"/>
  <c r="AZ54" i="8"/>
  <c r="AV54" i="8"/>
  <c r="AR54" i="8"/>
  <c r="BH54" i="8" s="1"/>
  <c r="FO53" i="8"/>
  <c r="FN53" i="8"/>
  <c r="EV53" i="8"/>
  <c r="EA53" i="8"/>
  <c r="BY53" i="8"/>
  <c r="BX53" i="8"/>
  <c r="BS53" i="8"/>
  <c r="BR53" i="8"/>
  <c r="BH53" i="8"/>
  <c r="BD53" i="8"/>
  <c r="AZ53" i="8"/>
  <c r="AV53" i="8"/>
  <c r="BH52" i="8"/>
  <c r="AN52" i="8"/>
  <c r="BD52" i="8" s="1"/>
  <c r="AJ52" i="8"/>
  <c r="AZ52" i="8" s="1"/>
  <c r="AF52" i="8"/>
  <c r="AV52" i="8" s="1"/>
  <c r="FO51" i="8"/>
  <c r="FN51" i="8"/>
  <c r="EV51" i="8"/>
  <c r="BX51" i="8"/>
  <c r="BR51" i="8"/>
  <c r="BH51" i="8"/>
  <c r="BD51" i="8"/>
  <c r="AZ51" i="8"/>
  <c r="AV51" i="8"/>
  <c r="AR50" i="8"/>
  <c r="BH50" i="8" s="1"/>
  <c r="AN50" i="8"/>
  <c r="BD50" i="8" s="1"/>
  <c r="AJ50" i="8"/>
  <c r="AZ50" i="8" s="1"/>
  <c r="AF50" i="8"/>
  <c r="AV50" i="8" s="1"/>
  <c r="FO49" i="8"/>
  <c r="FN49" i="8"/>
  <c r="EV49" i="8"/>
  <c r="EA49" i="8"/>
  <c r="BY49" i="8"/>
  <c r="BV49" i="8"/>
  <c r="BR49" i="8"/>
  <c r="BP49" i="8"/>
  <c r="BH49" i="8"/>
  <c r="BD49" i="8"/>
  <c r="AZ49" i="8"/>
  <c r="AV49" i="8"/>
  <c r="FO48" i="8"/>
  <c r="FN48" i="8"/>
  <c r="EV48" i="8"/>
  <c r="EA48" i="8"/>
  <c r="BY48" i="8"/>
  <c r="BV48" i="8"/>
  <c r="BR48" i="8"/>
  <c r="BP48" i="8"/>
  <c r="BH48" i="8"/>
  <c r="BD48" i="8"/>
  <c r="AZ48" i="8"/>
  <c r="AV48" i="8"/>
  <c r="FA47" i="8"/>
  <c r="ED47" i="8"/>
  <c r="DP47" i="8"/>
  <c r="DB47" i="8"/>
  <c r="CN47" i="8"/>
  <c r="BZ47" i="8"/>
  <c r="BH47" i="8"/>
  <c r="BD47" i="8"/>
  <c r="AZ47" i="8"/>
  <c r="AV47" i="8"/>
  <c r="FN46" i="8"/>
  <c r="EV46" i="8"/>
  <c r="EQ46" i="8"/>
  <c r="EP46" i="8"/>
  <c r="EO46" i="8"/>
  <c r="EN46" i="8"/>
  <c r="EM46" i="8"/>
  <c r="EL46" i="8"/>
  <c r="EK46" i="8"/>
  <c r="EI46" i="8"/>
  <c r="EH46" i="8"/>
  <c r="EG46" i="8"/>
  <c r="EF46" i="8"/>
  <c r="EE46" i="8"/>
  <c r="ED46" i="8"/>
  <c r="BY46" i="8"/>
  <c r="BX46" i="8"/>
  <c r="BS46" i="8"/>
  <c r="BR46" i="8"/>
  <c r="BD46" i="8"/>
  <c r="AZ46" i="8"/>
  <c r="AV46" i="8"/>
  <c r="AR46" i="8"/>
  <c r="BH46" i="8" s="1"/>
  <c r="FO45" i="8"/>
  <c r="FN45" i="8"/>
  <c r="EV45" i="8"/>
  <c r="EJ45" i="8"/>
  <c r="EJ46" i="8" s="1"/>
  <c r="EA45" i="8"/>
  <c r="BY45" i="8"/>
  <c r="BX45" i="8"/>
  <c r="BS45" i="8"/>
  <c r="BR45" i="8"/>
  <c r="BH45" i="8"/>
  <c r="BD45" i="8"/>
  <c r="AZ45" i="8"/>
  <c r="AV45" i="8"/>
  <c r="BH44" i="8"/>
  <c r="AN44" i="8"/>
  <c r="BD44" i="8" s="1"/>
  <c r="AJ44" i="8"/>
  <c r="AZ44" i="8" s="1"/>
  <c r="AF44" i="8"/>
  <c r="AV44" i="8" s="1"/>
  <c r="FO43" i="8"/>
  <c r="FN43" i="8"/>
  <c r="EV43" i="8"/>
  <c r="BX43" i="8"/>
  <c r="BR43" i="8"/>
  <c r="BH43" i="8"/>
  <c r="BD43" i="8"/>
  <c r="AZ43" i="8"/>
  <c r="AV43" i="8"/>
  <c r="BH42" i="8"/>
  <c r="AN42" i="8"/>
  <c r="BD42" i="8" s="1"/>
  <c r="AJ42" i="8"/>
  <c r="AZ42" i="8" s="1"/>
  <c r="AF42" i="8"/>
  <c r="AV42" i="8" s="1"/>
  <c r="FO41" i="8"/>
  <c r="FN41" i="8"/>
  <c r="EV41" i="8"/>
  <c r="BY41" i="8"/>
  <c r="BV41" i="8"/>
  <c r="BR41" i="8"/>
  <c r="BP41" i="8"/>
  <c r="BH41" i="8"/>
  <c r="BD41" i="8"/>
  <c r="AZ41" i="8"/>
  <c r="AV41" i="8"/>
  <c r="FO40" i="8"/>
  <c r="FN40" i="8"/>
  <c r="EV40" i="8"/>
  <c r="BY40" i="8"/>
  <c r="BV40" i="8"/>
  <c r="BR40" i="8"/>
  <c r="BP40" i="8"/>
  <c r="BH40" i="8"/>
  <c r="BD40" i="8"/>
  <c r="AZ40" i="8"/>
  <c r="AV40" i="8"/>
  <c r="FA39" i="8"/>
  <c r="ED39" i="8"/>
  <c r="DP39" i="8"/>
  <c r="DB39" i="8"/>
  <c r="CN39" i="8"/>
  <c r="BZ39" i="8"/>
  <c r="BH39" i="8"/>
  <c r="BD39" i="8"/>
  <c r="AZ39" i="8"/>
  <c r="AV39" i="8"/>
  <c r="FN38" i="8"/>
  <c r="EV38" i="8"/>
  <c r="EQ38" i="8"/>
  <c r="EP38" i="8"/>
  <c r="EO38" i="8"/>
  <c r="EN38" i="8"/>
  <c r="EM38" i="8"/>
  <c r="EL38" i="8"/>
  <c r="EK38" i="8"/>
  <c r="EJ38" i="8"/>
  <c r="EI38" i="8"/>
  <c r="EH38" i="8"/>
  <c r="EG38" i="8"/>
  <c r="EF38" i="8"/>
  <c r="EE38" i="8"/>
  <c r="ED38" i="8"/>
  <c r="BS38" i="8"/>
  <c r="BR38" i="8"/>
  <c r="AR38" i="8"/>
  <c r="FO37" i="8"/>
  <c r="FN37" i="8"/>
  <c r="HP36" i="8" s="1"/>
  <c r="EV37" i="8"/>
  <c r="EA37" i="8"/>
  <c r="BS37" i="8"/>
  <c r="BR37" i="8"/>
  <c r="AN36" i="8"/>
  <c r="AJ36" i="8"/>
  <c r="AF36" i="8"/>
  <c r="FO35" i="8"/>
  <c r="FN35" i="8"/>
  <c r="EV35" i="8"/>
  <c r="BR35" i="8"/>
  <c r="AN34" i="8"/>
  <c r="AJ34" i="8"/>
  <c r="AF34" i="8"/>
  <c r="FO33" i="8"/>
  <c r="FN33" i="8"/>
  <c r="EV33" i="8"/>
  <c r="EA33" i="8"/>
  <c r="BR33" i="8"/>
  <c r="BP33" i="8"/>
  <c r="FO32" i="8"/>
  <c r="FN32" i="8"/>
  <c r="EV32" i="8"/>
  <c r="EA32" i="8"/>
  <c r="CY32" i="8"/>
  <c r="BR32" i="8"/>
  <c r="BP32" i="8"/>
  <c r="FA31" i="8"/>
  <c r="ED31" i="8"/>
  <c r="DP31" i="8"/>
  <c r="DB31" i="8"/>
  <c r="CN31" i="8"/>
  <c r="BZ31" i="8"/>
  <c r="FN30" i="8"/>
  <c r="EV30" i="8"/>
  <c r="EQ30" i="8"/>
  <c r="EP30" i="8"/>
  <c r="EO30" i="8"/>
  <c r="EN30" i="8"/>
  <c r="EM30" i="8"/>
  <c r="EL30" i="8"/>
  <c r="EK30" i="8"/>
  <c r="EJ30" i="8"/>
  <c r="EI30" i="8"/>
  <c r="EH30" i="8"/>
  <c r="EG30" i="8"/>
  <c r="EF30" i="8"/>
  <c r="EE30" i="8"/>
  <c r="ED30" i="8"/>
  <c r="BS30" i="8"/>
  <c r="BR30" i="8"/>
  <c r="AR30" i="8"/>
  <c r="FO29" i="8"/>
  <c r="FN29" i="8"/>
  <c r="EV29" i="8"/>
  <c r="EA29" i="8"/>
  <c r="BS29" i="8"/>
  <c r="BR29" i="8"/>
  <c r="AR28" i="8"/>
  <c r="AN28" i="8"/>
  <c r="AJ28" i="8"/>
  <c r="AF28" i="8"/>
  <c r="FO27" i="8"/>
  <c r="FO26" i="8" s="1"/>
  <c r="EV27" i="8"/>
  <c r="BR27" i="8"/>
  <c r="AN26" i="8"/>
  <c r="AJ26" i="8"/>
  <c r="AF26" i="8"/>
  <c r="FO25" i="8"/>
  <c r="FN25" i="8"/>
  <c r="EV25" i="8"/>
  <c r="BR25" i="8"/>
  <c r="BP25" i="8"/>
  <c r="FN24" i="8"/>
  <c r="EV24" i="8"/>
  <c r="BR24" i="8"/>
  <c r="BP24" i="8"/>
  <c r="FA23" i="8"/>
  <c r="ED23" i="8"/>
  <c r="DP23" i="8"/>
  <c r="DB23" i="8"/>
  <c r="CN23" i="8"/>
  <c r="BZ23" i="8"/>
  <c r="FN22" i="8"/>
  <c r="FO22" i="8" s="1"/>
  <c r="BS22" i="8"/>
  <c r="FN21" i="8"/>
  <c r="BS21" i="8"/>
  <c r="FN20" i="8"/>
  <c r="FN19" i="8"/>
  <c r="FO19" i="8" s="1"/>
  <c r="BP19" i="8"/>
  <c r="FN18" i="8"/>
  <c r="EA18" i="8"/>
  <c r="BR18" i="8"/>
  <c r="BP18" i="8"/>
  <c r="FA17" i="8"/>
  <c r="Q15" i="8"/>
  <c r="O15" i="8"/>
  <c r="N15" i="8"/>
  <c r="M15" i="8"/>
  <c r="L15" i="8"/>
  <c r="K15" i="8"/>
  <c r="F15" i="8"/>
  <c r="E15" i="8"/>
  <c r="D15" i="8"/>
  <c r="K14" i="8"/>
  <c r="K13" i="8"/>
  <c r="AC12" i="8"/>
  <c r="M12" i="8"/>
  <c r="BK12" i="8" s="1"/>
  <c r="AA11" i="16" s="1"/>
  <c r="J10" i="17"/>
  <c r="D10" i="17"/>
  <c r="J9" i="17"/>
  <c r="D9" i="20"/>
  <c r="J8" i="20"/>
  <c r="F10" i="8"/>
  <c r="D8" i="14"/>
  <c r="AV7" i="8"/>
  <c r="AX6" i="8"/>
  <c r="AV6" i="8"/>
  <c r="AY5" i="8"/>
  <c r="AX5" i="8"/>
  <c r="AV5" i="8"/>
  <c r="B59" i="8"/>
  <c r="B58" i="16" s="1"/>
  <c r="BN4" i="8"/>
  <c r="AV4" i="8"/>
  <c r="AZ5" i="8"/>
  <c r="AV3" i="8"/>
  <c r="BN2" i="8"/>
  <c r="AY2" i="8"/>
  <c r="AX2" i="8"/>
  <c r="AQ2" i="8"/>
  <c r="AP2" i="8"/>
  <c r="AO2" i="8"/>
  <c r="C61" i="16"/>
  <c r="B61" i="16"/>
  <c r="C60" i="16"/>
  <c r="C59" i="16"/>
  <c r="C58" i="16"/>
  <c r="C57" i="16"/>
  <c r="C56" i="16"/>
  <c r="C55" i="16"/>
  <c r="C53" i="16"/>
  <c r="B53" i="16"/>
  <c r="C52" i="16"/>
  <c r="C51" i="16"/>
  <c r="C50" i="16"/>
  <c r="C49" i="16"/>
  <c r="C48" i="16"/>
  <c r="C47" i="16"/>
  <c r="C45" i="16"/>
  <c r="B45" i="16"/>
  <c r="C44" i="16"/>
  <c r="C43" i="16"/>
  <c r="C42" i="16"/>
  <c r="C41" i="16"/>
  <c r="C40" i="16"/>
  <c r="C39" i="16"/>
  <c r="C37" i="16"/>
  <c r="B37" i="16"/>
  <c r="C36" i="16"/>
  <c r="C35" i="16"/>
  <c r="C34" i="16"/>
  <c r="C33" i="16"/>
  <c r="C32" i="16"/>
  <c r="C31" i="16"/>
  <c r="C29" i="16"/>
  <c r="B29" i="16"/>
  <c r="C28" i="16"/>
  <c r="C27" i="16"/>
  <c r="C26" i="16"/>
  <c r="C25" i="16"/>
  <c r="C24" i="16"/>
  <c r="C23" i="16"/>
  <c r="C21" i="16"/>
  <c r="B21" i="16"/>
  <c r="C20" i="16"/>
  <c r="B20" i="16"/>
  <c r="C19" i="16"/>
  <c r="B19" i="16"/>
  <c r="C18" i="16"/>
  <c r="B18" i="16"/>
  <c r="C17" i="16"/>
  <c r="B17" i="16"/>
  <c r="O11" i="16"/>
  <c r="J11" i="16"/>
  <c r="I11" i="16"/>
  <c r="H11" i="16"/>
  <c r="O9" i="16"/>
  <c r="F8" i="16"/>
  <c r="L9" i="16" s="1"/>
  <c r="AA6" i="16"/>
  <c r="Z6" i="16"/>
  <c r="FO46" i="8" l="1"/>
  <c r="HQ46" i="8"/>
  <c r="FO30" i="8"/>
  <c r="HQ30" i="8"/>
  <c r="FO54" i="8"/>
  <c r="HQ54" i="8"/>
  <c r="FO38" i="8"/>
  <c r="HQ38" i="8"/>
  <c r="FO62" i="8"/>
  <c r="FP62" i="8" s="1"/>
  <c r="FP61" i="8" s="1"/>
  <c r="FS61" i="8" s="1"/>
  <c r="HQ62" i="8"/>
  <c r="FO52" i="8"/>
  <c r="FO21" i="8"/>
  <c r="FP21" i="8" s="1"/>
  <c r="FS21" i="8" s="1"/>
  <c r="I14" i="13"/>
  <c r="J16" i="8" s="1"/>
  <c r="J15" i="16" s="1"/>
  <c r="F16" i="8"/>
  <c r="F15" i="16" s="1"/>
  <c r="J11" i="26"/>
  <c r="J11" i="24"/>
  <c r="J11" i="25"/>
  <c r="U15" i="16"/>
  <c r="D13" i="8"/>
  <c r="C12" i="8"/>
  <c r="B11" i="8"/>
  <c r="B9" i="8"/>
  <c r="B7" i="16" s="1"/>
  <c r="AK9" i="8"/>
  <c r="D11" i="8"/>
  <c r="D9" i="16" s="1"/>
  <c r="C10" i="8"/>
  <c r="C8" i="16" s="1"/>
  <c r="D12" i="8"/>
  <c r="B10" i="8"/>
  <c r="G10" i="8" s="1"/>
  <c r="G8" i="16" s="1"/>
  <c r="C13" i="8"/>
  <c r="B12" i="8"/>
  <c r="D10" i="8"/>
  <c r="D8" i="16" s="1"/>
  <c r="B8" i="8"/>
  <c r="B6" i="16" s="1"/>
  <c r="B13" i="8"/>
  <c r="AK10" i="8"/>
  <c r="C11" i="8"/>
  <c r="C9" i="16" s="1"/>
  <c r="AK11" i="8"/>
  <c r="J11" i="23"/>
  <c r="J11" i="15"/>
  <c r="J11" i="21"/>
  <c r="FP59" i="8"/>
  <c r="FS59" i="8" s="1"/>
  <c r="FP24" i="8"/>
  <c r="FS24" i="8" s="1"/>
  <c r="FO36" i="8"/>
  <c r="FP40" i="8"/>
  <c r="FS40" i="8" s="1"/>
  <c r="FO42" i="8"/>
  <c r="FP43" i="8"/>
  <c r="FS43" i="8" s="1"/>
  <c r="FO50" i="8"/>
  <c r="FN28" i="8"/>
  <c r="FO28" i="8"/>
  <c r="FN34" i="8"/>
  <c r="FN36" i="8"/>
  <c r="FP27" i="8"/>
  <c r="FS27" i="8" s="1"/>
  <c r="FN58" i="8"/>
  <c r="FP25" i="8"/>
  <c r="FS25" i="8" s="1"/>
  <c r="FO34" i="8"/>
  <c r="FP19" i="8"/>
  <c r="FS19" i="8" s="1"/>
  <c r="FP32" i="8"/>
  <c r="FS32" i="8" s="1"/>
  <c r="FP38" i="8"/>
  <c r="FP37" i="8" s="1"/>
  <c r="FS37" i="8" s="1"/>
  <c r="FP48" i="8"/>
  <c r="FS48" i="8" s="1"/>
  <c r="FP49" i="8"/>
  <c r="FS49" i="8" s="1"/>
  <c r="FP56" i="8"/>
  <c r="FS56" i="8" s="1"/>
  <c r="FO58" i="8"/>
  <c r="FN42" i="8"/>
  <c r="FN52" i="8"/>
  <c r="FP57" i="8"/>
  <c r="FS57" i="8" s="1"/>
  <c r="FN26" i="8"/>
  <c r="FP35" i="8"/>
  <c r="FS35" i="8" s="1"/>
  <c r="FN44" i="8"/>
  <c r="FP46" i="8"/>
  <c r="FP45" i="8" s="1"/>
  <c r="FS45" i="8" s="1"/>
  <c r="FN60" i="8"/>
  <c r="FP30" i="8"/>
  <c r="FP29" i="8" s="1"/>
  <c r="FS29" i="8" s="1"/>
  <c r="FP54" i="8"/>
  <c r="FP53" i="8" s="1"/>
  <c r="FS53" i="8" s="1"/>
  <c r="FO20" i="8"/>
  <c r="FP41" i="8"/>
  <c r="FS41" i="8" s="1"/>
  <c r="FO44" i="8"/>
  <c r="FN50" i="8"/>
  <c r="FO18" i="8"/>
  <c r="FP18" i="8" s="1"/>
  <c r="FP22" i="8"/>
  <c r="FP33" i="8"/>
  <c r="FS33" i="8" s="1"/>
  <c r="FP51" i="8"/>
  <c r="FS51" i="8" s="1"/>
  <c r="FO60" i="8"/>
  <c r="B33" i="8"/>
  <c r="B32" i="16" s="1"/>
  <c r="B57" i="8"/>
  <c r="B56" i="16" s="1"/>
  <c r="T15" i="16"/>
  <c r="W15" i="16"/>
  <c r="B36" i="8"/>
  <c r="B35" i="16" s="1"/>
  <c r="B37" i="8"/>
  <c r="B36" i="16" s="1"/>
  <c r="J11" i="9"/>
  <c r="J11" i="14"/>
  <c r="J11" i="20"/>
  <c r="J11" i="17"/>
  <c r="J11" i="13"/>
  <c r="B40" i="8"/>
  <c r="B39" i="16" s="1"/>
  <c r="B60" i="8"/>
  <c r="B59" i="16" s="1"/>
  <c r="B61" i="8"/>
  <c r="B60" i="16" s="1"/>
  <c r="B28" i="8"/>
  <c r="B27" i="16" s="1"/>
  <c r="B34" i="8"/>
  <c r="B33" i="16" s="1"/>
  <c r="B35" i="8"/>
  <c r="B34" i="16" s="1"/>
  <c r="B42" i="8"/>
  <c r="B41" i="16" s="1"/>
  <c r="B43" i="8"/>
  <c r="B42" i="16" s="1"/>
  <c r="B44" i="8"/>
  <c r="B43" i="16" s="1"/>
  <c r="B45" i="8"/>
  <c r="B44" i="16" s="1"/>
  <c r="B48" i="8"/>
  <c r="B47" i="16" s="1"/>
  <c r="BK6" i="8"/>
  <c r="BL6" i="8" s="1"/>
  <c r="B24" i="8"/>
  <c r="B23" i="16" s="1"/>
  <c r="B25" i="8"/>
  <c r="B24" i="16" s="1"/>
  <c r="B26" i="8"/>
  <c r="B25" i="16" s="1"/>
  <c r="B27" i="8"/>
  <c r="B26" i="16" s="1"/>
  <c r="B29" i="8"/>
  <c r="B28" i="16" s="1"/>
  <c r="B32" i="8"/>
  <c r="B31" i="16" s="1"/>
  <c r="B41" i="8"/>
  <c r="B40" i="16" s="1"/>
  <c r="B50" i="8"/>
  <c r="B49" i="16" s="1"/>
  <c r="B49" i="8"/>
  <c r="B48" i="16" s="1"/>
  <c r="B51" i="8"/>
  <c r="B50" i="16" s="1"/>
  <c r="B52" i="8"/>
  <c r="B51" i="16" s="1"/>
  <c r="B53" i="8"/>
  <c r="B52" i="16" s="1"/>
  <c r="B56" i="8"/>
  <c r="B55" i="16" s="1"/>
  <c r="B58" i="8"/>
  <c r="B57" i="16" s="1"/>
  <c r="G4" i="16"/>
  <c r="AR7" i="8"/>
  <c r="AR4" i="8"/>
  <c r="AZ6" i="8"/>
  <c r="AZ3" i="8"/>
  <c r="AR6" i="8"/>
  <c r="AZ7" i="8"/>
  <c r="BA3" i="8" s="1"/>
  <c r="BA4" i="8" s="1"/>
  <c r="AR3" i="8"/>
  <c r="AZ4" i="8"/>
  <c r="AR5" i="8"/>
  <c r="BK10" i="8"/>
  <c r="J3" i="16"/>
  <c r="M10" i="16"/>
  <c r="K15" i="16"/>
  <c r="B63" i="16"/>
  <c r="E15" i="16"/>
  <c r="M15" i="16"/>
  <c r="G3" i="16"/>
  <c r="I4" i="16"/>
  <c r="P8" i="16"/>
  <c r="M8" i="16"/>
  <c r="J10" i="8"/>
  <c r="J8" i="16" s="1"/>
  <c r="I9" i="16"/>
  <c r="H3" i="16"/>
  <c r="J4" i="16"/>
  <c r="R8" i="16"/>
  <c r="N8" i="16"/>
  <c r="B15" i="16"/>
  <c r="Q15" i="16"/>
  <c r="V13" i="8"/>
  <c r="Z10" i="16" s="1"/>
  <c r="K8" i="17"/>
  <c r="K10" i="17"/>
  <c r="E9" i="17"/>
  <c r="BI10" i="8"/>
  <c r="J8" i="14"/>
  <c r="J9" i="9"/>
  <c r="J9" i="15"/>
  <c r="L8" i="16"/>
  <c r="K8" i="13"/>
  <c r="L10" i="16"/>
  <c r="E10" i="13"/>
  <c r="F10" i="16"/>
  <c r="BI13" i="8"/>
  <c r="AA10" i="16" s="1"/>
  <c r="E9" i="13"/>
  <c r="K10" i="13"/>
  <c r="E10" i="17"/>
  <c r="V10" i="8"/>
  <c r="Z7" i="16" s="1"/>
  <c r="D8" i="15"/>
  <c r="BI11" i="8"/>
  <c r="J9" i="13"/>
  <c r="BI12" i="8"/>
  <c r="IE56" i="8" s="1"/>
  <c r="J10" i="15"/>
  <c r="J10" i="20"/>
  <c r="J10" i="9"/>
  <c r="J10" i="13"/>
  <c r="J10" i="14"/>
  <c r="J9" i="14"/>
  <c r="J9" i="20"/>
  <c r="J8" i="9"/>
  <c r="J8" i="15"/>
  <c r="J8" i="13"/>
  <c r="J8" i="17"/>
  <c r="D8" i="13"/>
  <c r="D8" i="9"/>
  <c r="D8" i="17"/>
  <c r="V11" i="8"/>
  <c r="Z8" i="16" s="1"/>
  <c r="D9" i="14"/>
  <c r="D9" i="9"/>
  <c r="D9" i="13"/>
  <c r="D9" i="15"/>
  <c r="D9" i="17"/>
  <c r="V12" i="8"/>
  <c r="D10" i="13"/>
  <c r="D10" i="20"/>
  <c r="D10" i="15"/>
  <c r="D10" i="9"/>
  <c r="D10" i="14"/>
  <c r="F12" i="8"/>
  <c r="F11" i="8"/>
  <c r="F9" i="16"/>
  <c r="L11" i="16"/>
  <c r="K8" i="20"/>
  <c r="E10" i="20"/>
  <c r="K10" i="20"/>
  <c r="E9" i="20"/>
  <c r="K9" i="20"/>
  <c r="K10" i="9"/>
  <c r="K8" i="9"/>
  <c r="E9" i="9"/>
  <c r="K9" i="9"/>
  <c r="K10" i="15"/>
  <c r="K8" i="15"/>
  <c r="E9" i="15"/>
  <c r="K9" i="15"/>
  <c r="E10" i="9"/>
  <c r="K10" i="14"/>
  <c r="K8" i="14"/>
  <c r="E9" i="14"/>
  <c r="K9" i="14"/>
  <c r="E10" i="15"/>
  <c r="D8" i="20"/>
  <c r="AW2" i="8"/>
  <c r="B62" i="16"/>
  <c r="B65" i="16"/>
  <c r="B64" i="16"/>
  <c r="S15" i="16"/>
  <c r="P15" i="16"/>
  <c r="L15" i="16"/>
  <c r="H10" i="16"/>
  <c r="I10" i="8"/>
  <c r="I8" i="16" s="1"/>
  <c r="H4" i="16"/>
  <c r="I3" i="16"/>
  <c r="R15" i="16"/>
  <c r="N15" i="16"/>
  <c r="I15" i="16"/>
  <c r="C15" i="16"/>
  <c r="J10" i="16"/>
  <c r="J9" i="16"/>
  <c r="H10" i="8"/>
  <c r="H8" i="16" s="1"/>
  <c r="G7" i="16"/>
  <c r="H9" i="16"/>
  <c r="I10" i="16"/>
  <c r="O15" i="16"/>
  <c r="FP52" i="8" l="1"/>
  <c r="FS52" i="8" s="1"/>
  <c r="IE36" i="8"/>
  <c r="IE60" i="8"/>
  <c r="IE51" i="8"/>
  <c r="IE28" i="8"/>
  <c r="IE24" i="8"/>
  <c r="IE57" i="8"/>
  <c r="IE53" i="8"/>
  <c r="IE21" i="8"/>
  <c r="IE35" i="8"/>
  <c r="IE37" i="8"/>
  <c r="IE43" i="8"/>
  <c r="IE22" i="8"/>
  <c r="IE49" i="8"/>
  <c r="IE29" i="8"/>
  <c r="IE52" i="8"/>
  <c r="IE34" i="8"/>
  <c r="IE40" i="8"/>
  <c r="IE32" i="8"/>
  <c r="IE41" i="8"/>
  <c r="II52" i="8"/>
  <c r="II49" i="8"/>
  <c r="II29" i="8"/>
  <c r="II25" i="8"/>
  <c r="II22" i="8"/>
  <c r="II61" i="8"/>
  <c r="II43" i="8"/>
  <c r="II27" i="8"/>
  <c r="II37" i="8"/>
  <c r="II56" i="8"/>
  <c r="II59" i="8"/>
  <c r="II50" i="8"/>
  <c r="II46" i="8"/>
  <c r="II35" i="8"/>
  <c r="II33" i="8"/>
  <c r="II53" i="8"/>
  <c r="II30" i="8"/>
  <c r="II40" i="8"/>
  <c r="II21" i="8"/>
  <c r="II19" i="8"/>
  <c r="II24" i="8"/>
  <c r="II44" i="8"/>
  <c r="II28" i="8"/>
  <c r="II62" i="8"/>
  <c r="II57" i="8"/>
  <c r="II18" i="8"/>
  <c r="II26" i="8"/>
  <c r="II20" i="8"/>
  <c r="II51" i="8"/>
  <c r="II42" i="8"/>
  <c r="II38" i="8"/>
  <c r="II60" i="8"/>
  <c r="II54" i="8"/>
  <c r="II48" i="8"/>
  <c r="II41" i="8"/>
  <c r="II36" i="8"/>
  <c r="II34" i="8"/>
  <c r="II32" i="8"/>
  <c r="II45" i="8"/>
  <c r="II58" i="8"/>
  <c r="IE26" i="8"/>
  <c r="IE59" i="8"/>
  <c r="IE44" i="8"/>
  <c r="HN60" i="8"/>
  <c r="HZ60" i="8" s="1"/>
  <c r="HN42" i="8"/>
  <c r="HZ42" i="8" s="1"/>
  <c r="HM60" i="8"/>
  <c r="HX60" i="8" s="1"/>
  <c r="HN51" i="8"/>
  <c r="HZ51" i="8" s="1"/>
  <c r="HN48" i="8"/>
  <c r="HZ48" i="8" s="1"/>
  <c r="HM42" i="8"/>
  <c r="HX42" i="8" s="1"/>
  <c r="HM38" i="8"/>
  <c r="HX38" i="8" s="1"/>
  <c r="HN54" i="8"/>
  <c r="HZ54" i="8" s="1"/>
  <c r="HM51" i="8"/>
  <c r="HX51" i="8" s="1"/>
  <c r="HM48" i="8"/>
  <c r="HX48" i="8" s="1"/>
  <c r="HM36" i="8"/>
  <c r="HX36" i="8" s="1"/>
  <c r="HM34" i="8"/>
  <c r="HX34" i="8" s="1"/>
  <c r="HM54" i="8"/>
  <c r="HX54" i="8" s="1"/>
  <c r="HM32" i="8"/>
  <c r="HX32" i="8" s="1"/>
  <c r="HM28" i="8"/>
  <c r="HX28" i="8" s="1"/>
  <c r="HN58" i="8"/>
  <c r="HZ58" i="8" s="1"/>
  <c r="HM22" i="8"/>
  <c r="HX22" i="8" s="1"/>
  <c r="HM20" i="8"/>
  <c r="HX20" i="8" s="1"/>
  <c r="HM18" i="8"/>
  <c r="HX18" i="8" s="1"/>
  <c r="HM58" i="8"/>
  <c r="HX58" i="8" s="1"/>
  <c r="HN45" i="8"/>
  <c r="HZ45" i="8" s="1"/>
  <c r="HM25" i="8"/>
  <c r="HX25" i="8" s="1"/>
  <c r="HM53" i="8"/>
  <c r="HX53" i="8" s="1"/>
  <c r="HM50" i="8"/>
  <c r="HX50" i="8" s="1"/>
  <c r="HN44" i="8"/>
  <c r="HZ44" i="8" s="1"/>
  <c r="HN52" i="8"/>
  <c r="HZ52" i="8" s="1"/>
  <c r="HM45" i="8"/>
  <c r="HX45" i="8" s="1"/>
  <c r="HN43" i="8"/>
  <c r="HZ43" i="8" s="1"/>
  <c r="HN40" i="8"/>
  <c r="HZ40" i="8" s="1"/>
  <c r="HM29" i="8"/>
  <c r="HX29" i="8" s="1"/>
  <c r="HM27" i="8"/>
  <c r="HX27" i="8" s="1"/>
  <c r="HM61" i="8"/>
  <c r="HX61" i="8" s="1"/>
  <c r="HM56" i="8"/>
  <c r="HX56" i="8" s="1"/>
  <c r="HM24" i="8"/>
  <c r="HX24" i="8" s="1"/>
  <c r="HN61" i="8"/>
  <c r="HZ61" i="8" s="1"/>
  <c r="HN56" i="8"/>
  <c r="HZ56" i="8" s="1"/>
  <c r="HM52" i="8"/>
  <c r="HX52" i="8" s="1"/>
  <c r="HN49" i="8"/>
  <c r="HZ49" i="8" s="1"/>
  <c r="HM43" i="8"/>
  <c r="HX43" i="8" s="1"/>
  <c r="HM40" i="8"/>
  <c r="HX40" i="8" s="1"/>
  <c r="HM49" i="8"/>
  <c r="HX49" i="8" s="1"/>
  <c r="HN62" i="8"/>
  <c r="HZ62" i="8" s="1"/>
  <c r="HM19" i="8"/>
  <c r="HX19" i="8" s="1"/>
  <c r="HN57" i="8"/>
  <c r="HZ57" i="8" s="1"/>
  <c r="HM62" i="8"/>
  <c r="HX62" i="8" s="1"/>
  <c r="HM44" i="8"/>
  <c r="HX44" i="8" s="1"/>
  <c r="HM37" i="8"/>
  <c r="HX37" i="8" s="1"/>
  <c r="HN46" i="8"/>
  <c r="HZ46" i="8" s="1"/>
  <c r="HM35" i="8"/>
  <c r="HX35" i="8" s="1"/>
  <c r="HM33" i="8"/>
  <c r="HX33" i="8" s="1"/>
  <c r="HM21" i="8"/>
  <c r="HX21" i="8" s="1"/>
  <c r="HM26" i="8"/>
  <c r="HX26" i="8" s="1"/>
  <c r="HM57" i="8"/>
  <c r="HX57" i="8" s="1"/>
  <c r="HN59" i="8"/>
  <c r="HZ59" i="8" s="1"/>
  <c r="HM46" i="8"/>
  <c r="HX46" i="8" s="1"/>
  <c r="HN41" i="8"/>
  <c r="HZ41" i="8" s="1"/>
  <c r="HM59" i="8"/>
  <c r="HX59" i="8" s="1"/>
  <c r="HN53" i="8"/>
  <c r="HZ53" i="8" s="1"/>
  <c r="HN50" i="8"/>
  <c r="HZ50" i="8" s="1"/>
  <c r="HM41" i="8"/>
  <c r="HX41" i="8" s="1"/>
  <c r="HM30" i="8"/>
  <c r="HX30" i="8" s="1"/>
  <c r="IE62" i="8"/>
  <c r="IE61" i="8"/>
  <c r="IE27" i="8"/>
  <c r="IE19" i="8"/>
  <c r="IE25" i="8"/>
  <c r="IE48" i="8"/>
  <c r="IE30" i="8"/>
  <c r="IE18" i="8"/>
  <c r="IE54" i="8"/>
  <c r="IE33" i="8"/>
  <c r="IE20" i="8"/>
  <c r="IE38" i="8"/>
  <c r="IE46" i="8"/>
  <c r="IE58" i="8"/>
  <c r="IE42" i="8"/>
  <c r="IE50" i="8"/>
  <c r="IE45" i="8"/>
  <c r="FS18" i="8"/>
  <c r="FP50" i="8"/>
  <c r="FS50" i="8" s="1"/>
  <c r="FP28" i="8"/>
  <c r="FS28" i="8" s="1"/>
  <c r="FP26" i="8"/>
  <c r="FS26" i="8" s="1"/>
  <c r="FP36" i="8"/>
  <c r="FS36" i="8" s="1"/>
  <c r="FP44" i="8"/>
  <c r="FS44" i="8" s="1"/>
  <c r="B8" i="16"/>
  <c r="B10" i="16"/>
  <c r="G12" i="8"/>
  <c r="G10" i="16" s="1"/>
  <c r="B9" i="16"/>
  <c r="G11" i="8"/>
  <c r="G9" i="16" s="1"/>
  <c r="G13" i="8"/>
  <c r="G11" i="16" s="1"/>
  <c r="P71" i="8"/>
  <c r="GC34" i="8"/>
  <c r="AA7" i="16"/>
  <c r="C14" i="20"/>
  <c r="G14" i="20"/>
  <c r="F14" i="20"/>
  <c r="FS38" i="8"/>
  <c r="FP42" i="8"/>
  <c r="FS42" i="8" s="1"/>
  <c r="FS62" i="8"/>
  <c r="FP58" i="8"/>
  <c r="FS58" i="8" s="1"/>
  <c r="FS46" i="8"/>
  <c r="FP34" i="8"/>
  <c r="FS34" i="8" s="1"/>
  <c r="AS3" i="8"/>
  <c r="FS30" i="8"/>
  <c r="GG21" i="8"/>
  <c r="GI21" i="8" s="1"/>
  <c r="GK21" i="8" s="1"/>
  <c r="GM21" i="8" s="1"/>
  <c r="FS22" i="8"/>
  <c r="FP60" i="8"/>
  <c r="FS60" i="8" s="1"/>
  <c r="FS54" i="8"/>
  <c r="FP20" i="8"/>
  <c r="FS20" i="8" s="1"/>
  <c r="GG43" i="8"/>
  <c r="GI43" i="8" s="1"/>
  <c r="GK43" i="8" s="1"/>
  <c r="GL43" i="8" s="1"/>
  <c r="GJ43" i="8" s="1"/>
  <c r="GG35" i="8"/>
  <c r="GI35" i="8" s="1"/>
  <c r="GK35" i="8" s="1"/>
  <c r="GL35" i="8" s="1"/>
  <c r="GJ35" i="8" s="1"/>
  <c r="GG37" i="8"/>
  <c r="GI37" i="8" s="1"/>
  <c r="GK37" i="8" s="1"/>
  <c r="GL37" i="8" s="1"/>
  <c r="GJ37" i="8" s="1"/>
  <c r="GG52" i="8"/>
  <c r="GI52" i="8" s="1"/>
  <c r="GK52" i="8" s="1"/>
  <c r="GL52" i="8" s="1"/>
  <c r="GJ52" i="8" s="1"/>
  <c r="GG61" i="8"/>
  <c r="GI61" i="8" s="1"/>
  <c r="GK61" i="8" s="1"/>
  <c r="GL61" i="8" s="1"/>
  <c r="GJ61" i="8" s="1"/>
  <c r="GG28" i="8"/>
  <c r="GI28" i="8" s="1"/>
  <c r="GK28" i="8" s="1"/>
  <c r="GL28" i="8" s="1"/>
  <c r="GJ28" i="8" s="1"/>
  <c r="GG54" i="8"/>
  <c r="GI54" i="8" s="1"/>
  <c r="GK54" i="8" s="1"/>
  <c r="GL54" i="8" s="1"/>
  <c r="GJ54" i="8" s="1"/>
  <c r="GG53" i="8"/>
  <c r="GI53" i="8" s="1"/>
  <c r="GK53" i="8" s="1"/>
  <c r="GL53" i="8" s="1"/>
  <c r="GJ53" i="8" s="1"/>
  <c r="GG18" i="8"/>
  <c r="GI18" i="8" s="1"/>
  <c r="GK18" i="8" s="1"/>
  <c r="GL18" i="8" s="1"/>
  <c r="GJ18" i="8" s="1"/>
  <c r="GG32" i="8"/>
  <c r="GI32" i="8" s="1"/>
  <c r="GK32" i="8" s="1"/>
  <c r="GL32" i="8" s="1"/>
  <c r="GJ32" i="8" s="1"/>
  <c r="GG50" i="8"/>
  <c r="GI50" i="8" s="1"/>
  <c r="GK50" i="8" s="1"/>
  <c r="GL50" i="8" s="1"/>
  <c r="GJ50" i="8" s="1"/>
  <c r="GG38" i="8"/>
  <c r="GI38" i="8" s="1"/>
  <c r="GK38" i="8" s="1"/>
  <c r="GL38" i="8" s="1"/>
  <c r="GJ38" i="8" s="1"/>
  <c r="GG30" i="8"/>
  <c r="GI30" i="8" s="1"/>
  <c r="GK30" i="8" s="1"/>
  <c r="GL30" i="8" s="1"/>
  <c r="GJ30" i="8" s="1"/>
  <c r="GG33" i="8"/>
  <c r="GI33" i="8" s="1"/>
  <c r="GK33" i="8" s="1"/>
  <c r="GL33" i="8" s="1"/>
  <c r="GJ33" i="8" s="1"/>
  <c r="GG45" i="8"/>
  <c r="GI45" i="8" s="1"/>
  <c r="GK45" i="8" s="1"/>
  <c r="GL45" i="8" s="1"/>
  <c r="GJ45" i="8" s="1"/>
  <c r="FA29" i="8"/>
  <c r="GG62" i="8"/>
  <c r="GI62" i="8" s="1"/>
  <c r="GK62" i="8" s="1"/>
  <c r="GL62" i="8" s="1"/>
  <c r="GJ62" i="8" s="1"/>
  <c r="GG41" i="8"/>
  <c r="GI41" i="8" s="1"/>
  <c r="GK41" i="8" s="1"/>
  <c r="GL41" i="8" s="1"/>
  <c r="GJ41" i="8" s="1"/>
  <c r="GG51" i="8"/>
  <c r="GI51" i="8" s="1"/>
  <c r="GK51" i="8" s="1"/>
  <c r="GL51" i="8" s="1"/>
  <c r="GJ51" i="8" s="1"/>
  <c r="GG25" i="8"/>
  <c r="GI25" i="8" s="1"/>
  <c r="GK25" i="8" s="1"/>
  <c r="GM25" i="8" s="1"/>
  <c r="FA24" i="8"/>
  <c r="FA33" i="8"/>
  <c r="FA21" i="8"/>
  <c r="FA54" i="8"/>
  <c r="C14" i="17"/>
  <c r="GG56" i="8"/>
  <c r="GI56" i="8" s="1"/>
  <c r="GK56" i="8" s="1"/>
  <c r="GL56" i="8" s="1"/>
  <c r="GJ56" i="8" s="1"/>
  <c r="GG49" i="8"/>
  <c r="GI49" i="8" s="1"/>
  <c r="GK49" i="8" s="1"/>
  <c r="GL49" i="8" s="1"/>
  <c r="GJ49" i="8" s="1"/>
  <c r="GG60" i="8"/>
  <c r="GI60" i="8" s="1"/>
  <c r="GK60" i="8" s="1"/>
  <c r="GG46" i="8"/>
  <c r="GI46" i="8" s="1"/>
  <c r="GK46" i="8" s="1"/>
  <c r="GL46" i="8" s="1"/>
  <c r="GJ46" i="8" s="1"/>
  <c r="GG59" i="8"/>
  <c r="GI59" i="8" s="1"/>
  <c r="GK59" i="8" s="1"/>
  <c r="GL59" i="8" s="1"/>
  <c r="GJ59" i="8" s="1"/>
  <c r="FA46" i="8"/>
  <c r="FA35" i="8"/>
  <c r="F14" i="14"/>
  <c r="FA18" i="8"/>
  <c r="FA48" i="8"/>
  <c r="FA37" i="8"/>
  <c r="AA8" i="16"/>
  <c r="FA51" i="8"/>
  <c r="FA49" i="8"/>
  <c r="FA27" i="8"/>
  <c r="FA56" i="8"/>
  <c r="FA53" i="8"/>
  <c r="FA25" i="8"/>
  <c r="GG42" i="8"/>
  <c r="GI42" i="8" s="1"/>
  <c r="GK42" i="8" s="1"/>
  <c r="GL42" i="8" s="1"/>
  <c r="GJ42" i="8" s="1"/>
  <c r="GG22" i="8"/>
  <c r="GI22" i="8" s="1"/>
  <c r="GK22" i="8" s="1"/>
  <c r="GM22" i="8" s="1"/>
  <c r="GG34" i="8"/>
  <c r="GI34" i="8" s="1"/>
  <c r="GK34" i="8" s="1"/>
  <c r="GL34" i="8" s="1"/>
  <c r="GJ34" i="8" s="1"/>
  <c r="GG36" i="8"/>
  <c r="GI36" i="8" s="1"/>
  <c r="GK36" i="8" s="1"/>
  <c r="GL36" i="8" s="1"/>
  <c r="GJ36" i="8" s="1"/>
  <c r="GG48" i="8"/>
  <c r="GI48" i="8" s="1"/>
  <c r="GK48" i="8" s="1"/>
  <c r="GL48" i="8" s="1"/>
  <c r="GJ48" i="8" s="1"/>
  <c r="GG57" i="8"/>
  <c r="GI57" i="8" s="1"/>
  <c r="GK57" i="8" s="1"/>
  <c r="GL57" i="8" s="1"/>
  <c r="GJ57" i="8" s="1"/>
  <c r="FA30" i="8"/>
  <c r="FA32" i="8"/>
  <c r="FA61" i="8"/>
  <c r="GG44" i="8"/>
  <c r="GI44" i="8" s="1"/>
  <c r="GK44" i="8" s="1"/>
  <c r="GL44" i="8" s="1"/>
  <c r="GJ44" i="8" s="1"/>
  <c r="C14" i="14"/>
  <c r="C14" i="15"/>
  <c r="FA41" i="8"/>
  <c r="FA20" i="8"/>
  <c r="FA22" i="8"/>
  <c r="FA40" i="8"/>
  <c r="FA57" i="8"/>
  <c r="FA43" i="8"/>
  <c r="FA62" i="8"/>
  <c r="FA38" i="8"/>
  <c r="FA59" i="8"/>
  <c r="FA45" i="8"/>
  <c r="G14" i="14"/>
  <c r="FA19" i="8"/>
  <c r="AC3" i="8"/>
  <c r="GQ22" i="8"/>
  <c r="GS22" i="8" s="1"/>
  <c r="GV22" i="8" s="1"/>
  <c r="GY22" i="8" s="1"/>
  <c r="HB22" i="8" s="1"/>
  <c r="GQ49" i="8"/>
  <c r="GS49" i="8" s="1"/>
  <c r="GV49" i="8" s="1"/>
  <c r="GY49" i="8" s="1"/>
  <c r="HB49" i="8" s="1"/>
  <c r="FK35" i="8"/>
  <c r="FV35" i="8" s="1"/>
  <c r="FL40" i="8"/>
  <c r="FX40" i="8" s="1"/>
  <c r="GQ21" i="8"/>
  <c r="GS21" i="8" s="1"/>
  <c r="GV21" i="8" s="1"/>
  <c r="GY21" i="8" s="1"/>
  <c r="HB21" i="8" s="1"/>
  <c r="GQ37" i="8"/>
  <c r="GS37" i="8" s="1"/>
  <c r="GV37" i="8" s="1"/>
  <c r="GY37" i="8" s="1"/>
  <c r="HB37" i="8" s="1"/>
  <c r="GC33" i="8"/>
  <c r="FK38" i="8"/>
  <c r="FV38" i="8" s="1"/>
  <c r="GQ42" i="8"/>
  <c r="GS42" i="8" s="1"/>
  <c r="GV42" i="8" s="1"/>
  <c r="GY42" i="8" s="1"/>
  <c r="HB42" i="8" s="1"/>
  <c r="GQ51" i="8"/>
  <c r="GS51" i="8" s="1"/>
  <c r="GV51" i="8" s="1"/>
  <c r="GY51" i="8" s="1"/>
  <c r="HB51" i="8" s="1"/>
  <c r="GQ38" i="8"/>
  <c r="GS38" i="8" s="1"/>
  <c r="GV38" i="8" s="1"/>
  <c r="GY38" i="8" s="1"/>
  <c r="HB38" i="8" s="1"/>
  <c r="FK53" i="8"/>
  <c r="FV53" i="8" s="1"/>
  <c r="GC21" i="8"/>
  <c r="GQ19" i="8"/>
  <c r="GS19" i="8" s="1"/>
  <c r="GV19" i="8" s="1"/>
  <c r="GY19" i="8" s="1"/>
  <c r="HB19" i="8" s="1"/>
  <c r="AA9" i="16"/>
  <c r="GQ18" i="8"/>
  <c r="GS18" i="8" s="1"/>
  <c r="GV18" i="8" s="1"/>
  <c r="GY18" i="8" s="1"/>
  <c r="HB18" i="8" s="1"/>
  <c r="GC24" i="8"/>
  <c r="FK36" i="8"/>
  <c r="FV36" i="8" s="1"/>
  <c r="FL50" i="8"/>
  <c r="FX50" i="8" s="1"/>
  <c r="GQ59" i="8"/>
  <c r="GS59" i="8" s="1"/>
  <c r="GV59" i="8" s="1"/>
  <c r="GY59" i="8" s="1"/>
  <c r="HB59" i="8" s="1"/>
  <c r="GQ36" i="8"/>
  <c r="GS36" i="8" s="1"/>
  <c r="GV36" i="8" s="1"/>
  <c r="GY36" i="8" s="1"/>
  <c r="HB36" i="8" s="1"/>
  <c r="GQ41" i="8"/>
  <c r="GS41" i="8" s="1"/>
  <c r="GV41" i="8" s="1"/>
  <c r="GY41" i="8" s="1"/>
  <c r="HB41" i="8" s="1"/>
  <c r="FK21" i="8"/>
  <c r="FV21" i="8" s="1"/>
  <c r="FK28" i="8"/>
  <c r="FV28" i="8" s="1"/>
  <c r="FK24" i="8"/>
  <c r="FV24" i="8" s="1"/>
  <c r="GQ32" i="8"/>
  <c r="GS32" i="8" s="1"/>
  <c r="GV32" i="8" s="1"/>
  <c r="GY32" i="8" s="1"/>
  <c r="HB32" i="8" s="1"/>
  <c r="GQ46" i="8"/>
  <c r="GS46" i="8" s="1"/>
  <c r="GV46" i="8" s="1"/>
  <c r="GY46" i="8" s="1"/>
  <c r="HB46" i="8" s="1"/>
  <c r="GQ28" i="8"/>
  <c r="GS28" i="8" s="1"/>
  <c r="GV28" i="8" s="1"/>
  <c r="GY28" i="8" s="1"/>
  <c r="HB28" i="8" s="1"/>
  <c r="GQ35" i="8"/>
  <c r="GS35" i="8" s="1"/>
  <c r="GV35" i="8" s="1"/>
  <c r="GY35" i="8" s="1"/>
  <c r="HB35" i="8" s="1"/>
  <c r="GQ40" i="8"/>
  <c r="GS40" i="8" s="1"/>
  <c r="GV40" i="8" s="1"/>
  <c r="GY40" i="8" s="1"/>
  <c r="HB40" i="8" s="1"/>
  <c r="FL44" i="8"/>
  <c r="FX44" i="8" s="1"/>
  <c r="GC28" i="8"/>
  <c r="FK40" i="8"/>
  <c r="FV40" i="8" s="1"/>
  <c r="GQ52" i="8"/>
  <c r="GS52" i="8" s="1"/>
  <c r="GV52" i="8" s="1"/>
  <c r="GY52" i="8" s="1"/>
  <c r="HB52" i="8" s="1"/>
  <c r="GC18" i="8"/>
  <c r="FK50" i="8"/>
  <c r="FV50" i="8" s="1"/>
  <c r="FK19" i="8"/>
  <c r="FV19" i="8" s="1"/>
  <c r="FK26" i="8"/>
  <c r="FV26" i="8" s="1"/>
  <c r="FL42" i="8"/>
  <c r="FX42" i="8" s="1"/>
  <c r="FK51" i="8"/>
  <c r="FV51" i="8" s="1"/>
  <c r="GC30" i="8"/>
  <c r="FK37" i="8"/>
  <c r="FV37" i="8" s="1"/>
  <c r="GQ48" i="8"/>
  <c r="GS48" i="8" s="1"/>
  <c r="GV48" i="8" s="1"/>
  <c r="GY48" i="8" s="1"/>
  <c r="HB48" i="8" s="1"/>
  <c r="GC22" i="8"/>
  <c r="GC19" i="8"/>
  <c r="GQ25" i="8"/>
  <c r="GS25" i="8" s="1"/>
  <c r="GV25" i="8" s="1"/>
  <c r="GY25" i="8" s="1"/>
  <c r="HB25" i="8" s="1"/>
  <c r="FK33" i="8"/>
  <c r="FV33" i="8" s="1"/>
  <c r="FL54" i="8"/>
  <c r="FX54" i="8" s="1"/>
  <c r="GQ29" i="8"/>
  <c r="GS29" i="8" s="1"/>
  <c r="GV29" i="8" s="1"/>
  <c r="GY29" i="8" s="1"/>
  <c r="HB29" i="8" s="1"/>
  <c r="GC36" i="8"/>
  <c r="FK41" i="8"/>
  <c r="FV41" i="8" s="1"/>
  <c r="FK45" i="8"/>
  <c r="FV45" i="8" s="1"/>
  <c r="FL41" i="8"/>
  <c r="FX41" i="8" s="1"/>
  <c r="FL45" i="8"/>
  <c r="FX45" i="8" s="1"/>
  <c r="GQ33" i="8"/>
  <c r="GS33" i="8" s="1"/>
  <c r="GV33" i="8" s="1"/>
  <c r="GY33" i="8" s="1"/>
  <c r="HB33" i="8" s="1"/>
  <c r="GC54" i="8"/>
  <c r="GQ30" i="8"/>
  <c r="GS30" i="8" s="1"/>
  <c r="GV30" i="8" s="1"/>
  <c r="GY30" i="8" s="1"/>
  <c r="HB30" i="8" s="1"/>
  <c r="FL58" i="8"/>
  <c r="FX58" i="8" s="1"/>
  <c r="GQ20" i="8"/>
  <c r="GS20" i="8" s="1"/>
  <c r="GV20" i="8" s="1"/>
  <c r="GY20" i="8" s="1"/>
  <c r="HB20" i="8" s="1"/>
  <c r="GQ26" i="8"/>
  <c r="GS26" i="8" s="1"/>
  <c r="GV26" i="8" s="1"/>
  <c r="GY26" i="8" s="1"/>
  <c r="HB26" i="8" s="1"/>
  <c r="FK29" i="8"/>
  <c r="FV29" i="8" s="1"/>
  <c r="GQ27" i="8"/>
  <c r="GS27" i="8" s="1"/>
  <c r="GV27" i="8" s="1"/>
  <c r="GY27" i="8" s="1"/>
  <c r="HB27" i="8" s="1"/>
  <c r="GQ45" i="8"/>
  <c r="GS45" i="8" s="1"/>
  <c r="GV45" i="8" s="1"/>
  <c r="GY45" i="8" s="1"/>
  <c r="HB45" i="8" s="1"/>
  <c r="GC29" i="8"/>
  <c r="FK44" i="8"/>
  <c r="FV44" i="8" s="1"/>
  <c r="GQ24" i="8"/>
  <c r="GS24" i="8" s="1"/>
  <c r="GV24" i="8" s="1"/>
  <c r="GY24" i="8" s="1"/>
  <c r="HB24" i="8" s="1"/>
  <c r="FK20" i="8"/>
  <c r="FV20" i="8" s="1"/>
  <c r="FK27" i="8"/>
  <c r="FV27" i="8" s="1"/>
  <c r="GC45" i="8"/>
  <c r="FL56" i="8"/>
  <c r="FX56" i="8" s="1"/>
  <c r="FK32" i="8"/>
  <c r="FV32" i="8" s="1"/>
  <c r="GC38" i="8"/>
  <c r="FL62" i="8"/>
  <c r="FX62" i="8" s="1"/>
  <c r="FK25" i="8"/>
  <c r="FV25" i="8" s="1"/>
  <c r="GC20" i="8"/>
  <c r="GC26" i="8"/>
  <c r="GQ34" i="8"/>
  <c r="GS34" i="8" s="1"/>
  <c r="GV34" i="8" s="1"/>
  <c r="GY34" i="8" s="1"/>
  <c r="HB34" i="8" s="1"/>
  <c r="GQ57" i="8"/>
  <c r="GS57" i="8" s="1"/>
  <c r="GV57" i="8" s="1"/>
  <c r="GY57" i="8" s="1"/>
  <c r="HB57" i="8" s="1"/>
  <c r="GC32" i="8"/>
  <c r="GC37" i="8"/>
  <c r="GC41" i="8"/>
  <c r="GC50" i="8"/>
  <c r="FK30" i="8"/>
  <c r="FV30" i="8" s="1"/>
  <c r="GC42" i="8"/>
  <c r="FK49" i="8"/>
  <c r="FV49" i="8" s="1"/>
  <c r="GC35" i="8"/>
  <c r="FK42" i="8"/>
  <c r="FV42" i="8" s="1"/>
  <c r="GQ53" i="8"/>
  <c r="GS53" i="8" s="1"/>
  <c r="GV53" i="8" s="1"/>
  <c r="GY53" i="8" s="1"/>
  <c r="HB53" i="8" s="1"/>
  <c r="GC27" i="8"/>
  <c r="FK34" i="8"/>
  <c r="FV34" i="8" s="1"/>
  <c r="GC40" i="8"/>
  <c r="GC44" i="8"/>
  <c r="FK54" i="8"/>
  <c r="FV54" i="8" s="1"/>
  <c r="GC57" i="8"/>
  <c r="FK46" i="8"/>
  <c r="FV46" i="8" s="1"/>
  <c r="GQ60" i="8"/>
  <c r="GS60" i="8" s="1"/>
  <c r="GV60" i="8" s="1"/>
  <c r="GY60" i="8" s="1"/>
  <c r="HB60" i="8" s="1"/>
  <c r="GC49" i="8"/>
  <c r="GQ44" i="8"/>
  <c r="GS44" i="8" s="1"/>
  <c r="GV44" i="8" s="1"/>
  <c r="GY44" i="8" s="1"/>
  <c r="HB44" i="8" s="1"/>
  <c r="GC48" i="8"/>
  <c r="GQ56" i="8"/>
  <c r="GS56" i="8" s="1"/>
  <c r="GV56" i="8" s="1"/>
  <c r="GY56" i="8" s="1"/>
  <c r="HB56" i="8" s="1"/>
  <c r="FL49" i="8"/>
  <c r="FX49" i="8" s="1"/>
  <c r="GC46" i="8"/>
  <c r="GC52" i="8"/>
  <c r="GC59" i="8"/>
  <c r="FL52" i="8"/>
  <c r="FX52" i="8" s="1"/>
  <c r="FK52" i="8"/>
  <c r="FV52" i="8" s="1"/>
  <c r="FK57" i="8"/>
  <c r="FV57" i="8" s="1"/>
  <c r="GQ61" i="8"/>
  <c r="GS61" i="8" s="1"/>
  <c r="GV61" i="8" s="1"/>
  <c r="GY61" i="8" s="1"/>
  <c r="HB61" i="8" s="1"/>
  <c r="GQ54" i="8"/>
  <c r="GS54" i="8" s="1"/>
  <c r="GV54" i="8" s="1"/>
  <c r="GY54" i="8" s="1"/>
  <c r="HB54" i="8" s="1"/>
  <c r="FL46" i="8"/>
  <c r="FX46" i="8" s="1"/>
  <c r="FL57" i="8"/>
  <c r="FX57" i="8" s="1"/>
  <c r="GC43" i="8"/>
  <c r="GQ50" i="8"/>
  <c r="GS50" i="8" s="1"/>
  <c r="GV50" i="8" s="1"/>
  <c r="GY50" i="8" s="1"/>
  <c r="HB50" i="8" s="1"/>
  <c r="FL59" i="8"/>
  <c r="FX59" i="8" s="1"/>
  <c r="GC51" i="8"/>
  <c r="GQ43" i="8"/>
  <c r="GS43" i="8" s="1"/>
  <c r="GV43" i="8" s="1"/>
  <c r="GY43" i="8" s="1"/>
  <c r="HB43" i="8" s="1"/>
  <c r="FK48" i="8"/>
  <c r="FV48" i="8" s="1"/>
  <c r="FL51" i="8"/>
  <c r="FX51" i="8" s="1"/>
  <c r="GC53" i="8"/>
  <c r="FK59" i="8"/>
  <c r="FV59" i="8" s="1"/>
  <c r="FK43" i="8"/>
  <c r="FV43" i="8" s="1"/>
  <c r="FL48" i="8"/>
  <c r="FX48" i="8" s="1"/>
  <c r="FL53" i="8"/>
  <c r="FX53" i="8" s="1"/>
  <c r="FK61" i="8"/>
  <c r="FV61" i="8" s="1"/>
  <c r="FK56" i="8"/>
  <c r="FV56" i="8" s="1"/>
  <c r="GC61" i="8"/>
  <c r="GQ58" i="8"/>
  <c r="GS58" i="8" s="1"/>
  <c r="GV58" i="8" s="1"/>
  <c r="GY58" i="8" s="1"/>
  <c r="HB58" i="8" s="1"/>
  <c r="FK58" i="8"/>
  <c r="FV58" i="8" s="1"/>
  <c r="FL60" i="8"/>
  <c r="FX60" i="8" s="1"/>
  <c r="FK62" i="8"/>
  <c r="FV62" i="8" s="1"/>
  <c r="GC62" i="8"/>
  <c r="GC56" i="8"/>
  <c r="GC60" i="8"/>
  <c r="GC58" i="8"/>
  <c r="GC25" i="8"/>
  <c r="FK60" i="8"/>
  <c r="FV60" i="8" s="1"/>
  <c r="GQ62" i="8"/>
  <c r="GS62" i="8" s="1"/>
  <c r="GV62" i="8" s="1"/>
  <c r="GY62" i="8" s="1"/>
  <c r="HB62" i="8" s="1"/>
  <c r="FL61" i="8"/>
  <c r="FX61" i="8" s="1"/>
  <c r="FK22" i="8"/>
  <c r="FV22" i="8" s="1"/>
  <c r="FK18" i="8"/>
  <c r="FV18" i="8" s="1"/>
  <c r="FL43" i="8"/>
  <c r="FX43" i="8" s="1"/>
  <c r="F14" i="13"/>
  <c r="G16" i="8" s="1"/>
  <c r="G14" i="13"/>
  <c r="H16" i="8" s="1"/>
  <c r="G14" i="15"/>
  <c r="F14" i="15"/>
  <c r="G14" i="17"/>
  <c r="F14" i="17"/>
  <c r="F14" i="9"/>
  <c r="G14" i="9"/>
  <c r="C14" i="13"/>
  <c r="D16" i="8" s="1"/>
  <c r="C14" i="9"/>
  <c r="GG58" i="8"/>
  <c r="GI58" i="8" s="1"/>
  <c r="GK58" i="8" s="1"/>
  <c r="GG19" i="8"/>
  <c r="GI19" i="8" s="1"/>
  <c r="GK19" i="8" s="1"/>
  <c r="GM19" i="8" s="1"/>
  <c r="GG27" i="8"/>
  <c r="GI27" i="8" s="1"/>
  <c r="GK27" i="8" s="1"/>
  <c r="GG20" i="8"/>
  <c r="GI20" i="8" s="1"/>
  <c r="GK20" i="8" s="1"/>
  <c r="Z9" i="16"/>
  <c r="GG40" i="8"/>
  <c r="GI40" i="8" s="1"/>
  <c r="GK40" i="8" s="1"/>
  <c r="GG29" i="8"/>
  <c r="GI29" i="8" s="1"/>
  <c r="GK29" i="8" s="1"/>
  <c r="GG26" i="8"/>
  <c r="GI26" i="8" s="1"/>
  <c r="GK26" i="8" s="1"/>
  <c r="GG24" i="8"/>
  <c r="GI24" i="8" s="1"/>
  <c r="GK24" i="8" s="1"/>
  <c r="AK4" i="8"/>
  <c r="AK1" i="8"/>
  <c r="AK2" i="8"/>
  <c r="G12" i="16"/>
  <c r="FA44" i="8" l="1"/>
  <c r="FA58" i="8"/>
  <c r="GL21" i="8"/>
  <c r="GJ21" i="8" s="1"/>
  <c r="GM28" i="8"/>
  <c r="FA36" i="8"/>
  <c r="AK5" i="8"/>
  <c r="Z2" i="8" s="1"/>
  <c r="FA34" i="8"/>
  <c r="GM18" i="8"/>
  <c r="GM30" i="8"/>
  <c r="GM62" i="8"/>
  <c r="GM41" i="8"/>
  <c r="GM32" i="8"/>
  <c r="GM33" i="8"/>
  <c r="GM43" i="8"/>
  <c r="GM35" i="8"/>
  <c r="GM61" i="8"/>
  <c r="GM37" i="8"/>
  <c r="GM45" i="8"/>
  <c r="GM54" i="8"/>
  <c r="GM50" i="8"/>
  <c r="GL25" i="8"/>
  <c r="GJ25" i="8" s="1"/>
  <c r="GM46" i="8"/>
  <c r="GM38" i="8"/>
  <c r="GM53" i="8"/>
  <c r="FA52" i="8"/>
  <c r="FA60" i="8"/>
  <c r="GM52" i="8"/>
  <c r="GM49" i="8"/>
  <c r="GM51" i="8"/>
  <c r="GM59" i="8"/>
  <c r="GL22" i="8"/>
  <c r="GJ22" i="8" s="1"/>
  <c r="GM34" i="8"/>
  <c r="FA42" i="8"/>
  <c r="GM56" i="8"/>
  <c r="GL60" i="8"/>
  <c r="GJ60" i="8" s="1"/>
  <c r="GM60" i="8"/>
  <c r="FA26" i="8"/>
  <c r="FA50" i="8"/>
  <c r="FA28" i="8"/>
  <c r="GM48" i="8"/>
  <c r="GM57" i="8"/>
  <c r="GM42" i="8"/>
  <c r="GM36" i="8"/>
  <c r="GM44" i="8"/>
  <c r="GL24" i="8"/>
  <c r="GJ24" i="8" s="1"/>
  <c r="GM24" i="8"/>
  <c r="GL58" i="8"/>
  <c r="GJ58" i="8" s="1"/>
  <c r="GM58" i="8"/>
  <c r="GL26" i="8"/>
  <c r="GJ26" i="8" s="1"/>
  <c r="GM26" i="8"/>
  <c r="GL20" i="8"/>
  <c r="GJ20" i="8" s="1"/>
  <c r="GM20" i="8"/>
  <c r="GL29" i="8"/>
  <c r="GJ29" i="8" s="1"/>
  <c r="GM29" i="8"/>
  <c r="GL27" i="8"/>
  <c r="GJ27" i="8" s="1"/>
  <c r="GM27" i="8"/>
  <c r="GL40" i="8"/>
  <c r="GJ40" i="8" s="1"/>
  <c r="GM40" i="8"/>
  <c r="GL19" i="8"/>
  <c r="GJ19" i="8" s="1"/>
  <c r="H15" i="16" l="1"/>
  <c r="G15" i="16"/>
  <c r="D15" i="16"/>
  <c r="BK17" i="8"/>
  <c r="CE26" i="8" s="1"/>
  <c r="AK7" i="8" l="1"/>
  <c r="CD25" i="8"/>
  <c r="CL24" i="8"/>
  <c r="AB33" i="8"/>
  <c r="BZ19" i="8"/>
  <c r="CH38" i="8"/>
  <c r="AB17" i="8"/>
  <c r="CH40" i="8"/>
  <c r="Z20" i="8"/>
  <c r="CK19" i="8"/>
  <c r="CD41" i="8"/>
  <c r="Z24" i="8"/>
  <c r="AB23" i="8"/>
  <c r="BL24" i="8"/>
  <c r="CH29" i="8"/>
  <c r="CI44" i="8"/>
  <c r="CD44" i="8"/>
  <c r="CG28" i="8"/>
  <c r="AB30" i="8"/>
  <c r="AB41" i="8"/>
  <c r="CJ20" i="8"/>
  <c r="AB20" i="8"/>
  <c r="CC19" i="8"/>
  <c r="X40" i="8"/>
  <c r="CF22" i="8"/>
  <c r="CD19" i="8"/>
  <c r="Z22" i="8"/>
  <c r="CJ24" i="8"/>
  <c r="Z26" i="8"/>
  <c r="Y18" i="8"/>
  <c r="CM22" i="8"/>
  <c r="Y26" i="8"/>
  <c r="AB28" i="8"/>
  <c r="CE25" i="8"/>
  <c r="X33" i="8"/>
  <c r="CE45" i="8"/>
  <c r="CH36" i="8"/>
  <c r="BM30" i="8"/>
  <c r="CK34" i="8"/>
  <c r="CA19" i="8"/>
  <c r="CL59" i="8"/>
  <c r="CB49" i="8"/>
  <c r="Z35" i="8"/>
  <c r="CA52" i="8"/>
  <c r="CA41" i="8"/>
  <c r="CM34" i="8"/>
  <c r="CD28" i="8"/>
  <c r="CL38" i="8"/>
  <c r="CD29" i="8"/>
  <c r="Y25" i="8"/>
  <c r="CC21" i="8"/>
  <c r="CB18" i="8"/>
  <c r="BZ45" i="8"/>
  <c r="CM38" i="8"/>
  <c r="CI33" i="8"/>
  <c r="CF42" i="8"/>
  <c r="CK36" i="8"/>
  <c r="AB32" i="8"/>
  <c r="BM41" i="8"/>
  <c r="CB33" i="8"/>
  <c r="BK27" i="8"/>
  <c r="CD24" i="8"/>
  <c r="CA21" i="8"/>
  <c r="CB19" i="8"/>
  <c r="BZ53" i="8"/>
  <c r="CJ36" i="8"/>
  <c r="CE30" i="8"/>
  <c r="AB27" i="8"/>
  <c r="BZ24" i="8"/>
  <c r="BZ21" i="8"/>
  <c r="CJ19" i="8"/>
  <c r="Z18" i="8"/>
  <c r="CK41" i="8"/>
  <c r="CM27" i="8"/>
  <c r="CF20" i="8"/>
  <c r="BL18" i="8"/>
  <c r="CB36" i="8"/>
  <c r="CM29" i="8"/>
  <c r="CA26" i="8"/>
  <c r="CH24" i="8"/>
  <c r="X21" i="8"/>
  <c r="CF19" i="8"/>
  <c r="BK32" i="8"/>
  <c r="AB25" i="8"/>
  <c r="CE21" i="8"/>
  <c r="CE37" i="8"/>
  <c r="CB26" i="8"/>
  <c r="CD21" i="8"/>
  <c r="CH19" i="8"/>
  <c r="X45" i="8"/>
  <c r="X25" i="8"/>
  <c r="CM21" i="8"/>
  <c r="CA29" i="8"/>
  <c r="CG18" i="8"/>
  <c r="CE43" i="8"/>
  <c r="X27" i="8"/>
  <c r="CB21" i="8"/>
  <c r="X19" i="8"/>
  <c r="CG32" i="8"/>
  <c r="CC24" i="8"/>
  <c r="CD27" i="8"/>
  <c r="CA22" i="8"/>
  <c r="CG46" i="8"/>
  <c r="BZ33" i="8"/>
  <c r="CG50" i="8"/>
  <c r="CF40" i="8"/>
  <c r="CE34" i="8"/>
  <c r="CF27" i="8"/>
  <c r="BZ37" i="8"/>
  <c r="Z29" i="8"/>
  <c r="CI24" i="8"/>
  <c r="Y21" i="8"/>
  <c r="AB18" i="8"/>
  <c r="CB42" i="8"/>
  <c r="CL37" i="8"/>
  <c r="BM56" i="8"/>
  <c r="CG41" i="8"/>
  <c r="CG34" i="8"/>
  <c r="CL30" i="8"/>
  <c r="CE40" i="8"/>
  <c r="CI30" i="8"/>
  <c r="CF26" i="8"/>
  <c r="AB24" i="8"/>
  <c r="Z21" i="8"/>
  <c r="BL19" i="8"/>
  <c r="CB48" i="8"/>
  <c r="BK18" i="8"/>
  <c r="CI25" i="8"/>
  <c r="CA20" i="8"/>
  <c r="CG36" i="8"/>
  <c r="BK20" i="8"/>
  <c r="CK24" i="8"/>
  <c r="CM51" i="8"/>
  <c r="BM22" i="8"/>
  <c r="CB58" i="8"/>
  <c r="CM30" i="8"/>
  <c r="CE18" i="8"/>
  <c r="BL21" i="8"/>
  <c r="BL29" i="8"/>
  <c r="BZ18" i="8"/>
  <c r="CF24" i="8"/>
  <c r="BM18" i="8"/>
  <c r="BZ20" i="8"/>
  <c r="Y24" i="8"/>
  <c r="CL26" i="8"/>
  <c r="CE33" i="8"/>
  <c r="X22" i="8"/>
  <c r="AA22" i="8" s="1"/>
  <c r="CA33" i="8"/>
  <c r="BK45" i="8"/>
  <c r="Y20" i="8"/>
  <c r="CB22" i="8"/>
  <c r="CH26" i="8"/>
  <c r="CC32" i="8"/>
  <c r="CJ46" i="8"/>
  <c r="CD20" i="8"/>
  <c r="BZ26" i="8"/>
  <c r="CG35" i="8"/>
  <c r="CJ33" i="8"/>
  <c r="CL48" i="8"/>
  <c r="CC41" i="8"/>
  <c r="CE19" i="8"/>
  <c r="Y27" i="8"/>
  <c r="CK48" i="8"/>
  <c r="CB37" i="8"/>
  <c r="CG26" i="8"/>
  <c r="CM20" i="8"/>
  <c r="CJ25" i="8"/>
  <c r="Y40" i="8"/>
  <c r="CB20" i="8"/>
  <c r="Z37" i="8"/>
  <c r="CI52" i="8"/>
  <c r="CB24" i="8"/>
  <c r="CH22" i="8"/>
  <c r="CH35" i="8"/>
  <c r="Z19" i="8"/>
  <c r="BL22" i="8"/>
  <c r="BZ29" i="8"/>
  <c r="X20" i="8"/>
  <c r="CK25" i="8"/>
  <c r="CA18" i="8"/>
  <c r="CH20" i="8"/>
  <c r="BK25" i="8"/>
  <c r="CA27" i="8"/>
  <c r="AB35" i="8"/>
  <c r="CI18" i="8"/>
  <c r="X24" i="8"/>
  <c r="BZ40" i="8"/>
  <c r="CD18" i="8"/>
  <c r="CL20" i="8"/>
  <c r="CJ22" i="8"/>
  <c r="CI27" i="8"/>
  <c r="CM33" i="8"/>
  <c r="CC18" i="8"/>
  <c r="CL21" i="8"/>
  <c r="X28" i="8"/>
  <c r="CH45" i="8"/>
  <c r="CI37" i="8"/>
  <c r="CL35" i="8"/>
  <c r="CA46" i="8"/>
  <c r="CG22" i="8"/>
  <c r="X32" i="8"/>
  <c r="CJ30" i="8"/>
  <c r="Z43" i="8"/>
  <c r="CJ41" i="8"/>
  <c r="CJ21" i="8"/>
  <c r="BM29" i="8"/>
  <c r="CL27" i="8"/>
  <c r="AB54" i="8"/>
  <c r="CL22" i="8"/>
  <c r="CD37" i="8"/>
  <c r="X61" i="8"/>
  <c r="CD30" i="8"/>
  <c r="AA23" i="8"/>
  <c r="BL38" i="8"/>
  <c r="BL20" i="8"/>
  <c r="BZ22" i="8"/>
  <c r="BM37" i="8"/>
  <c r="CE22" i="8"/>
  <c r="CJ26" i="8"/>
  <c r="CL18" i="8"/>
  <c r="CI21" i="8"/>
  <c r="CC25" i="8"/>
  <c r="CC28" i="8"/>
  <c r="CE38" i="8"/>
  <c r="AB19" i="8"/>
  <c r="CA25" i="8"/>
  <c r="CJ43" i="8"/>
  <c r="CK18" i="8"/>
  <c r="AB21" i="8"/>
  <c r="CG24" i="8"/>
  <c r="CI29" i="8"/>
  <c r="X34" i="8"/>
  <c r="Y19" i="8"/>
  <c r="AB22" i="8"/>
  <c r="CE29" i="8"/>
  <c r="CB51" i="8"/>
  <c r="BK40" i="8"/>
  <c r="CC36" i="8"/>
  <c r="Y61" i="8"/>
  <c r="CK22" i="8"/>
  <c r="CF32" i="8"/>
  <c r="BZ32" i="8"/>
  <c r="CE44" i="8"/>
  <c r="AB44" i="8"/>
  <c r="CC20" i="8"/>
  <c r="CK21" i="8"/>
  <c r="BJ23" i="8"/>
  <c r="CB25" i="8"/>
  <c r="BZ27" i="8"/>
  <c r="X30" i="8"/>
  <c r="BZ34" i="8"/>
  <c r="CL40" i="8"/>
  <c r="CJ54" i="8"/>
  <c r="AB29" i="8"/>
  <c r="CL32" i="8"/>
  <c r="CE35" i="8"/>
  <c r="CB38" i="8"/>
  <c r="CI41" i="8"/>
  <c r="CI45" i="8"/>
  <c r="CG56" i="8"/>
  <c r="CI28" i="8"/>
  <c r="CM36" i="8"/>
  <c r="CG48" i="8"/>
  <c r="CE59" i="8"/>
  <c r="BL43" i="8"/>
  <c r="CL60" i="8"/>
  <c r="BK19" i="8"/>
  <c r="CE20" i="8"/>
  <c r="CH21" i="8"/>
  <c r="BK24" i="8"/>
  <c r="X26" i="8"/>
  <c r="CK28" i="8"/>
  <c r="Y32" i="8"/>
  <c r="X35" i="8"/>
  <c r="AA35" i="8" s="1"/>
  <c r="BJ47" i="8"/>
  <c r="CH18" i="8"/>
  <c r="CL19" i="8"/>
  <c r="BM21" i="8"/>
  <c r="CD22" i="8"/>
  <c r="AB26" i="8"/>
  <c r="CE27" i="8"/>
  <c r="CJ32" i="8"/>
  <c r="BZ38" i="8"/>
  <c r="CC48" i="8"/>
  <c r="CB32" i="8"/>
  <c r="Z36" i="8"/>
  <c r="CI40" i="8"/>
  <c r="CB46" i="8"/>
  <c r="CC34" i="8"/>
  <c r="BM38" i="8"/>
  <c r="CL41" i="8"/>
  <c r="BJ55" i="8"/>
  <c r="BM19" i="8"/>
  <c r="CG20" i="8"/>
  <c r="Y22" i="8"/>
  <c r="CE24" i="8"/>
  <c r="CM25" i="8"/>
  <c r="CH27" i="8"/>
  <c r="BZ30" i="8"/>
  <c r="CC35" i="8"/>
  <c r="CC42" i="8"/>
  <c r="BL27" i="8"/>
  <c r="CJ29" i="8"/>
  <c r="CG33" i="8"/>
  <c r="AB36" i="8"/>
  <c r="AB39" i="8"/>
  <c r="BZ42" i="8"/>
  <c r="BL48" i="8"/>
  <c r="CM60" i="8"/>
  <c r="CC30" i="8"/>
  <c r="BJ39" i="8"/>
  <c r="CJ44" i="8"/>
  <c r="CH43" i="8"/>
  <c r="CK45" i="8"/>
  <c r="Z56" i="8"/>
  <c r="CA53" i="8"/>
  <c r="BZ52" i="8"/>
  <c r="BL37" i="8"/>
  <c r="CD40" i="8"/>
  <c r="CK42" i="8"/>
  <c r="CF50" i="8"/>
  <c r="CB27" i="8"/>
  <c r="CL28" i="8"/>
  <c r="CF30" i="8"/>
  <c r="CD32" i="8"/>
  <c r="CK33" i="8"/>
  <c r="CA35" i="8"/>
  <c r="CD36" i="8"/>
  <c r="CF37" i="8"/>
  <c r="BL40" i="8"/>
  <c r="CE41" i="8"/>
  <c r="CH42" i="8"/>
  <c r="CA45" i="8"/>
  <c r="CF48" i="8"/>
  <c r="X53" i="8"/>
  <c r="BZ25" i="8"/>
  <c r="CC27" i="8"/>
  <c r="CM28" i="8"/>
  <c r="BJ31" i="8"/>
  <c r="CD33" i="8"/>
  <c r="CF35" i="8"/>
  <c r="CG37" i="8"/>
  <c r="BM40" i="8"/>
  <c r="CA42" i="8"/>
  <c r="CD45" i="8"/>
  <c r="CJ51" i="8"/>
  <c r="X43" i="8"/>
  <c r="AA43" i="8" s="1"/>
  <c r="BL45" i="8"/>
  <c r="X48" i="8"/>
  <c r="CJ50" i="8"/>
  <c r="AA55" i="8"/>
  <c r="CA60" i="8"/>
  <c r="CL43" i="8"/>
  <c r="CL46" i="8"/>
  <c r="CF56" i="8"/>
  <c r="CG27" i="8"/>
  <c r="CG29" i="8"/>
  <c r="CE32" i="8"/>
  <c r="CL33" i="8"/>
  <c r="Y36" i="8"/>
  <c r="Z38" i="8"/>
  <c r="CK40" i="8"/>
  <c r="CA43" i="8"/>
  <c r="Z46" i="8"/>
  <c r="CD52" i="8"/>
  <c r="CK43" i="8"/>
  <c r="CJ45" i="8"/>
  <c r="AB48" i="8"/>
  <c r="Y52" i="8"/>
  <c r="CC56" i="8"/>
  <c r="CI62" i="8"/>
  <c r="BM45" i="8"/>
  <c r="CA48" i="8"/>
  <c r="CG49" i="8"/>
  <c r="CH34" i="8"/>
  <c r="AB38" i="8"/>
  <c r="CH41" i="8"/>
  <c r="CI46" i="8"/>
  <c r="BZ57" i="8"/>
  <c r="BZ28" i="8"/>
  <c r="CF29" i="8"/>
  <c r="AB31" i="8"/>
  <c r="BK33" i="8"/>
  <c r="CI34" i="8"/>
  <c r="CM35" i="8"/>
  <c r="AB37" i="8"/>
  <c r="CF38" i="8"/>
  <c r="CJ40" i="8"/>
  <c r="AB42" i="8"/>
  <c r="Y44" i="8"/>
  <c r="BK46" i="8"/>
  <c r="CE51" i="8"/>
  <c r="CA57" i="8"/>
  <c r="CL25" i="8"/>
  <c r="CE28" i="8"/>
  <c r="Z30" i="8"/>
  <c r="CI32" i="8"/>
  <c r="CJ34" i="8"/>
  <c r="CI36" i="8"/>
  <c r="BK38" i="8"/>
  <c r="CB41" i="8"/>
  <c r="CI43" i="8"/>
  <c r="CF46" i="8"/>
  <c r="AB55" i="8"/>
  <c r="Z44" i="8"/>
  <c r="X46" i="8"/>
  <c r="Z49" i="8"/>
  <c r="CM52" i="8"/>
  <c r="CK56" i="8"/>
  <c r="BK43" i="8"/>
  <c r="CC45" i="8"/>
  <c r="X50" i="8"/>
  <c r="Z53" i="8"/>
  <c r="Y54" i="8"/>
  <c r="CH52" i="8"/>
  <c r="CK49" i="8"/>
  <c r="CD51" i="8"/>
  <c r="CM49" i="8"/>
  <c r="BL54" i="8"/>
  <c r="X51" i="8"/>
  <c r="CL51" i="8"/>
  <c r="CM56" i="8"/>
  <c r="CH58" i="8"/>
  <c r="CC60" i="8"/>
  <c r="CJ52" i="8"/>
  <c r="CD57" i="8"/>
  <c r="CF59" i="8"/>
  <c r="X49" i="8"/>
  <c r="CE56" i="8"/>
  <c r="CM58" i="8"/>
  <c r="CJ62" i="8"/>
  <c r="CC51" i="8"/>
  <c r="CD54" i="8"/>
  <c r="AB49" i="8"/>
  <c r="CM57" i="8"/>
  <c r="CG59" i="8"/>
  <c r="CM43" i="8"/>
  <c r="CA49" i="8"/>
  <c r="BZ35" i="8"/>
  <c r="X38" i="8"/>
  <c r="CA40" i="8"/>
  <c r="CA44" i="8"/>
  <c r="CB56" i="8"/>
  <c r="CF18" i="8"/>
  <c r="CM19" i="8"/>
  <c r="BK21" i="8"/>
  <c r="BK22" i="8"/>
  <c r="CA24" i="8"/>
  <c r="BM25" i="8"/>
  <c r="CD26" i="8"/>
  <c r="CJ28" i="8"/>
  <c r="BL30" i="8"/>
  <c r="CF33" i="8"/>
  <c r="CF36" i="8"/>
  <c r="CD38" i="8"/>
  <c r="X41" i="8"/>
  <c r="CL44" i="8"/>
  <c r="BL49" i="8"/>
  <c r="CG58" i="8"/>
  <c r="Y28" i="8"/>
  <c r="X29" i="8"/>
  <c r="Y30" i="8"/>
  <c r="BL32" i="8"/>
  <c r="Y33" i="8"/>
  <c r="Y34" i="8"/>
  <c r="BK35" i="8"/>
  <c r="X36" i="8"/>
  <c r="AA36" i="8" s="1"/>
  <c r="CL36" i="8"/>
  <c r="Y38" i="8"/>
  <c r="Z40" i="8"/>
  <c r="Y41" i="8"/>
  <c r="X42" i="8"/>
  <c r="CL42" i="8"/>
  <c r="CM44" i="8"/>
  <c r="CM46" i="8"/>
  <c r="BL51" i="8"/>
  <c r="CH53" i="8"/>
  <c r="BL25" i="8"/>
  <c r="CC26" i="8"/>
  <c r="CK27" i="8"/>
  <c r="CC29" i="8"/>
  <c r="CK30" i="8"/>
  <c r="CM32" i="8"/>
  <c r="CB34" i="8"/>
  <c r="CJ35" i="8"/>
  <c r="BK37" i="8"/>
  <c r="CK38" i="8"/>
  <c r="Z41" i="8"/>
  <c r="CE42" i="8"/>
  <c r="AB45" i="8"/>
  <c r="BM48" i="8"/>
  <c r="BK53" i="8"/>
  <c r="CC43" i="8"/>
  <c r="Z45" i="8"/>
  <c r="BM46" i="8"/>
  <c r="CH48" i="8"/>
  <c r="Z51" i="8"/>
  <c r="CI53" i="8"/>
  <c r="CJ58" i="8"/>
  <c r="Y43" i="8"/>
  <c r="CC44" i="8"/>
  <c r="BZ46" i="8"/>
  <c r="CE48" i="8"/>
  <c r="CK50" i="8"/>
  <c r="CL53" i="8"/>
  <c r="Y57" i="8"/>
  <c r="CI48" i="8"/>
  <c r="CD50" i="8"/>
  <c r="CK51" i="8"/>
  <c r="BL53" i="8"/>
  <c r="AB56" i="8"/>
  <c r="CC58" i="8"/>
  <c r="Z50" i="8"/>
  <c r="CG53" i="8"/>
  <c r="CL61" i="8"/>
  <c r="CE62" i="8"/>
  <c r="AB61" i="8"/>
  <c r="CH46" i="8"/>
  <c r="CJ48" i="8"/>
  <c r="CI51" i="8"/>
  <c r="X54" i="8"/>
  <c r="AB58" i="8"/>
  <c r="CC49" i="8"/>
  <c r="CH50" i="8"/>
  <c r="Z52" i="8"/>
  <c r="CJ53" i="8"/>
  <c r="BZ56" i="8"/>
  <c r="CK58" i="8"/>
  <c r="CI50" i="8"/>
  <c r="CA54" i="8"/>
  <c r="CB57" i="8"/>
  <c r="CC57" i="8"/>
  <c r="BL62" i="8"/>
  <c r="CL54" i="8"/>
  <c r="AB57" i="8"/>
  <c r="CG60" i="8"/>
  <c r="CH49" i="8"/>
  <c r="CM50" i="8"/>
  <c r="CC52" i="8"/>
  <c r="CI54" i="8"/>
  <c r="CF58" i="8"/>
  <c r="CF57" i="8"/>
  <c r="CD60" i="8"/>
  <c r="CG57" i="8"/>
  <c r="CM59" i="8"/>
  <c r="CE61" i="8"/>
  <c r="CK61" i="8"/>
  <c r="CL49" i="8"/>
  <c r="BK51" i="8"/>
  <c r="CC53" i="8"/>
  <c r="CA56" i="8"/>
  <c r="CH60" i="8"/>
  <c r="CD58" i="8"/>
  <c r="BK62" i="8"/>
  <c r="CE58" i="8"/>
  <c r="CK60" i="8"/>
  <c r="AB62" i="8"/>
  <c r="BM62" i="8"/>
  <c r="CD34" i="8"/>
  <c r="CJ42" i="8"/>
  <c r="CL52" i="8"/>
  <c r="CM18" i="8"/>
  <c r="CG19" i="8"/>
  <c r="CI20" i="8"/>
  <c r="CF21" i="8"/>
  <c r="CI22" i="8"/>
  <c r="CF25" i="8"/>
  <c r="CM26" i="8"/>
  <c r="CF28" i="8"/>
  <c r="BM33" i="8"/>
  <c r="CM37" i="8"/>
  <c r="CG42" i="8"/>
  <c r="CA30" i="8"/>
  <c r="CK32" i="8"/>
  <c r="CD35" i="8"/>
  <c r="CI38" i="8"/>
  <c r="Z42" i="8"/>
  <c r="CM45" i="8"/>
  <c r="AB50" i="8"/>
  <c r="CL34" i="8"/>
  <c r="CA37" i="8"/>
  <c r="CA38" i="8"/>
  <c r="CM40" i="8"/>
  <c r="X44" i="8"/>
  <c r="CG54" i="8"/>
  <c r="X18" i="8"/>
  <c r="CJ18" i="8"/>
  <c r="CI19" i="8"/>
  <c r="CK20" i="8"/>
  <c r="CG21" i="8"/>
  <c r="CC22" i="8"/>
  <c r="BM24" i="8"/>
  <c r="CM24" i="8"/>
  <c r="CG25" i="8"/>
  <c r="CI26" i="8"/>
  <c r="CB28" i="8"/>
  <c r="CL29" i="8"/>
  <c r="CH30" i="8"/>
  <c r="AB34" i="8"/>
  <c r="CK35" i="8"/>
  <c r="CH37" i="8"/>
  <c r="AB40" i="8"/>
  <c r="BZ41" i="8"/>
  <c r="CB43" i="8"/>
  <c r="Z48" i="8"/>
  <c r="CE53" i="8"/>
  <c r="Z27" i="8"/>
  <c r="CJ27" i="8"/>
  <c r="CH28" i="8"/>
  <c r="CB29" i="8"/>
  <c r="CB30" i="8"/>
  <c r="Z32" i="8"/>
  <c r="CH32" i="8"/>
  <c r="CC33" i="8"/>
  <c r="CA34" i="8"/>
  <c r="Y35" i="8"/>
  <c r="CI35" i="8"/>
  <c r="BZ36" i="8"/>
  <c r="X37" i="8"/>
  <c r="AA37" i="8" s="1"/>
  <c r="CJ37" i="8"/>
  <c r="CJ38" i="8"/>
  <c r="CB40" i="8"/>
  <c r="BK41" i="8"/>
  <c r="CM41" i="8"/>
  <c r="CD42" i="8"/>
  <c r="CF43" i="8"/>
  <c r="Y45" i="8"/>
  <c r="CE46" i="8"/>
  <c r="CF49" i="8"/>
  <c r="X52" i="8"/>
  <c r="BM54" i="8"/>
  <c r="Z25" i="8"/>
  <c r="CH25" i="8"/>
  <c r="CK26" i="8"/>
  <c r="Z28" i="8"/>
  <c r="BK29" i="8"/>
  <c r="BK30" i="8"/>
  <c r="BM32" i="8"/>
  <c r="BL33" i="8"/>
  <c r="Z34" i="8"/>
  <c r="BL35" i="8"/>
  <c r="CE36" i="8"/>
  <c r="CC37" i="8"/>
  <c r="CC38" i="8"/>
  <c r="CG40" i="8"/>
  <c r="CF41" i="8"/>
  <c r="CI42" i="8"/>
  <c r="CH44" i="8"/>
  <c r="BL46" i="8"/>
  <c r="Y49" i="8"/>
  <c r="CB54" i="8"/>
  <c r="AB43" i="8"/>
  <c r="CB44" i="8"/>
  <c r="CF45" i="8"/>
  <c r="CC46" i="8"/>
  <c r="BZ48" i="8"/>
  <c r="CB50" i="8"/>
  <c r="CE52" i="8"/>
  <c r="CC54" i="8"/>
  <c r="CH57" i="8"/>
  <c r="CC61" i="8"/>
  <c r="BZ43" i="8"/>
  <c r="CK44" i="8"/>
  <c r="Y46" i="8"/>
  <c r="Y48" i="8"/>
  <c r="CE49" i="8"/>
  <c r="CA51" i="8"/>
  <c r="AB53" i="8"/>
  <c r="BL56" i="8"/>
  <c r="CI59" i="8"/>
  <c r="CM48" i="8"/>
  <c r="BZ50" i="8"/>
  <c r="AB51" i="8"/>
  <c r="CB52" i="8"/>
  <c r="CF53" i="8"/>
  <c r="CH54" i="8"/>
  <c r="CD56" i="8"/>
  <c r="X58" i="8"/>
  <c r="BK61" i="8"/>
  <c r="BZ49" i="8"/>
  <c r="CE50" i="8"/>
  <c r="BZ51" i="8"/>
  <c r="CG52" i="8"/>
  <c r="Z54" i="8"/>
  <c r="CM54" i="8"/>
  <c r="CI56" i="8"/>
  <c r="CC59" i="8"/>
  <c r="CB62" i="8"/>
  <c r="CJ57" i="8"/>
  <c r="AB59" i="8"/>
  <c r="CI60" i="8"/>
  <c r="CM62" i="8"/>
  <c r="Z58" i="8"/>
  <c r="X59" i="8"/>
  <c r="AB60" i="8"/>
  <c r="CH61" i="8"/>
  <c r="CI61" i="8"/>
  <c r="Y59" i="8"/>
  <c r="BM53" i="8"/>
  <c r="BK54" i="8"/>
  <c r="Y56" i="8"/>
  <c r="CE57" i="8"/>
  <c r="X60" i="8"/>
  <c r="Z57" i="8"/>
  <c r="BZ58" i="8"/>
  <c r="CA59" i="8"/>
  <c r="BZ61" i="8"/>
  <c r="BM57" i="8"/>
  <c r="CA58" i="8"/>
  <c r="BL59" i="8"/>
  <c r="CE60" i="8"/>
  <c r="Z62" i="8"/>
  <c r="CM61" i="8"/>
  <c r="CL62" i="8"/>
  <c r="CH59" i="8"/>
  <c r="X62" i="8"/>
  <c r="AA62" i="8" s="1"/>
  <c r="CF62" i="8"/>
  <c r="CA61" i="8"/>
  <c r="BZ60" i="8"/>
  <c r="CB59" i="8"/>
  <c r="CI58" i="8"/>
  <c r="CK57" i="8"/>
  <c r="CL56" i="8"/>
  <c r="CG61" i="8"/>
  <c r="CK59" i="8"/>
  <c r="CL58" i="8"/>
  <c r="Y58" i="8"/>
  <c r="BL57" i="8"/>
  <c r="BM61" i="8"/>
  <c r="Z59" i="8"/>
  <c r="BK57" i="8"/>
  <c r="BK56" i="8"/>
  <c r="CE54" i="8"/>
  <c r="CK53" i="8"/>
  <c r="CK52" i="8"/>
  <c r="CH51" i="8"/>
  <c r="Y51" i="8"/>
  <c r="CA50" i="8"/>
  <c r="CD49" i="8"/>
  <c r="CA62" i="8"/>
  <c r="CJ59" i="8"/>
  <c r="CL57" i="8"/>
  <c r="CH56" i="8"/>
  <c r="X56" i="8"/>
  <c r="BZ54" i="8"/>
  <c r="CB53" i="8"/>
  <c r="CF52" i="8"/>
  <c r="CG51" i="8"/>
  <c r="CL50" i="8"/>
  <c r="Y50" i="8"/>
  <c r="BM49" i="8"/>
  <c r="CD61" i="8"/>
  <c r="CI57" i="8"/>
  <c r="CF54" i="8"/>
  <c r="CD53" i="8"/>
  <c r="AB52" i="8"/>
  <c r="CC50" i="8"/>
  <c r="BK49" i="8"/>
  <c r="BK48" i="8"/>
  <c r="CD46" i="8"/>
  <c r="CG45" i="8"/>
  <c r="CG44" i="8"/>
  <c r="CD43" i="8"/>
  <c r="BJ63" i="8"/>
  <c r="Y60" i="8"/>
  <c r="X57" i="8"/>
  <c r="CK54" i="8"/>
  <c r="Y53" i="8"/>
  <c r="CF51" i="8"/>
  <c r="CJ49" i="8"/>
  <c r="CD48" i="8"/>
  <c r="CK46" i="8"/>
  <c r="AB46" i="8"/>
  <c r="CB45" i="8"/>
  <c r="CF44" i="8"/>
  <c r="CG43" i="8"/>
  <c r="CJ56" i="8"/>
  <c r="CM53" i="8"/>
  <c r="CI49" i="8"/>
  <c r="AB47" i="8"/>
  <c r="CL45" i="8"/>
  <c r="BZ44" i="8"/>
  <c r="CM42" i="8"/>
  <c r="Y42" i="8"/>
  <c r="BL41" i="8"/>
  <c r="CC40" i="8"/>
  <c r="CG38" i="8"/>
  <c r="CK37" i="8"/>
  <c r="Y37" i="8"/>
  <c r="CA36" i="8"/>
  <c r="CB35" i="8"/>
  <c r="CF34" i="8"/>
  <c r="CH33" i="8"/>
  <c r="Z33" i="8"/>
  <c r="CA32" i="8"/>
  <c r="CG30" i="8"/>
  <c r="CK29" i="8"/>
  <c r="Y29" i="8"/>
  <c r="CA28" i="8"/>
  <c r="CC62" i="8"/>
  <c r="CF60" i="8"/>
  <c r="BK59" i="8"/>
  <c r="CJ60" i="8"/>
  <c r="CB61" i="8"/>
  <c r="AA17" i="8"/>
  <c r="CF61" i="8"/>
  <c r="BZ62" i="8"/>
  <c r="AA47" i="8"/>
  <c r="CD62" i="8"/>
  <c r="AA39" i="8"/>
  <c r="AA31" i="8"/>
  <c r="CG62" i="8"/>
  <c r="BZ59" i="8"/>
  <c r="Z60" i="8"/>
  <c r="Z61" i="8"/>
  <c r="CJ61" i="8"/>
  <c r="CH62" i="8"/>
  <c r="CK62" i="8"/>
  <c r="CD59" i="8"/>
  <c r="CB60" i="8"/>
  <c r="BL61" i="8"/>
  <c r="Y62" i="8"/>
  <c r="HE31" i="8" l="1"/>
  <c r="HG31" i="8" s="1"/>
  <c r="HH31" i="8" s="1"/>
  <c r="HE47" i="8"/>
  <c r="HG47" i="8" s="1"/>
  <c r="HH47" i="8" s="1"/>
  <c r="HE55" i="8"/>
  <c r="HG55" i="8" s="1"/>
  <c r="HH55" i="8" s="1"/>
  <c r="HE39" i="8"/>
  <c r="HG39" i="8" s="1"/>
  <c r="HH39" i="8" s="1"/>
  <c r="HE29" i="8"/>
  <c r="HE24" i="8"/>
  <c r="HE56" i="8"/>
  <c r="HE26" i="8"/>
  <c r="HE25" i="8"/>
  <c r="HE27" i="8"/>
  <c r="HE30" i="8"/>
  <c r="HE28" i="8"/>
  <c r="HE43" i="8"/>
  <c r="HE37" i="8"/>
  <c r="HE62" i="8"/>
  <c r="HE53" i="8"/>
  <c r="HE23" i="8"/>
  <c r="HG23" i="8" s="1"/>
  <c r="HH23" i="8" s="1"/>
  <c r="HE40" i="8"/>
  <c r="HE58" i="8"/>
  <c r="HE45" i="8"/>
  <c r="HE22" i="8"/>
  <c r="HE32" i="8"/>
  <c r="HE38" i="8"/>
  <c r="HE35" i="8"/>
  <c r="HE60" i="8"/>
  <c r="HE34" i="8"/>
  <c r="HE57" i="8"/>
  <c r="HE46" i="8"/>
  <c r="HE61" i="8"/>
  <c r="HE42" i="8"/>
  <c r="HE21" i="8"/>
  <c r="HE20" i="8"/>
  <c r="HE44" i="8"/>
  <c r="HE52" i="8"/>
  <c r="HE50" i="8"/>
  <c r="HE41" i="8"/>
  <c r="HE33" i="8"/>
  <c r="HE49" i="8"/>
  <c r="HE51" i="8"/>
  <c r="HE36" i="8"/>
  <c r="HE19" i="8"/>
  <c r="HE59" i="8"/>
  <c r="HE48" i="8"/>
  <c r="HE54" i="8"/>
  <c r="HE18" i="8"/>
  <c r="L60" i="8"/>
  <c r="L59" i="16" s="1"/>
  <c r="L34" i="8"/>
  <c r="L33" i="16" s="1"/>
  <c r="BL23" i="8"/>
  <c r="A15" i="9" s="1"/>
  <c r="L59" i="8"/>
  <c r="L58" i="16" s="1"/>
  <c r="L40" i="8"/>
  <c r="L39" i="16" s="1"/>
  <c r="L58" i="8"/>
  <c r="L57" i="16" s="1"/>
  <c r="L45" i="8"/>
  <c r="L44" i="16" s="1"/>
  <c r="L49" i="8"/>
  <c r="L48" i="16" s="1"/>
  <c r="L37" i="8"/>
  <c r="L36" i="16" s="1"/>
  <c r="L29" i="8"/>
  <c r="L28" i="16" s="1"/>
  <c r="L30" i="8"/>
  <c r="L29" i="16" s="1"/>
  <c r="L57" i="8"/>
  <c r="L56" i="16" s="1"/>
  <c r="L56" i="8"/>
  <c r="L55" i="16" s="1"/>
  <c r="BL39" i="8"/>
  <c r="A31" i="23" s="1"/>
  <c r="L41" i="8"/>
  <c r="L40" i="16" s="1"/>
  <c r="L33" i="8"/>
  <c r="L32" i="16" s="1"/>
  <c r="L51" i="8"/>
  <c r="L50" i="16" s="1"/>
  <c r="L62" i="8"/>
  <c r="L61" i="16" s="1"/>
  <c r="L61" i="8"/>
  <c r="L60" i="16" s="1"/>
  <c r="L42" i="8"/>
  <c r="L41" i="16" s="1"/>
  <c r="L36" i="8"/>
  <c r="L35" i="16" s="1"/>
  <c r="L21" i="8"/>
  <c r="L20" i="16" s="1"/>
  <c r="L19" i="8"/>
  <c r="L18" i="16" s="1"/>
  <c r="L32" i="8"/>
  <c r="L31" i="16" s="1"/>
  <c r="L20" i="8"/>
  <c r="L19" i="16" s="1"/>
  <c r="L50" i="8"/>
  <c r="L49" i="16" s="1"/>
  <c r="BL31" i="8"/>
  <c r="A23" i="20" s="1"/>
  <c r="BL47" i="8"/>
  <c r="A39" i="26" s="1"/>
  <c r="BL63" i="8"/>
  <c r="A55" i="21" s="1"/>
  <c r="L52" i="8"/>
  <c r="L51" i="16" s="1"/>
  <c r="L53" i="8"/>
  <c r="L52" i="16" s="1"/>
  <c r="L43" i="8"/>
  <c r="L42" i="16" s="1"/>
  <c r="L38" i="8"/>
  <c r="L37" i="16" s="1"/>
  <c r="L48" i="8"/>
  <c r="L47" i="16" s="1"/>
  <c r="BL55" i="8"/>
  <c r="A47" i="21" s="1"/>
  <c r="L44" i="8"/>
  <c r="L43" i="16" s="1"/>
  <c r="L35" i="8"/>
  <c r="L34" i="16" s="1"/>
  <c r="AA25" i="8"/>
  <c r="L54" i="8"/>
  <c r="L53" i="16" s="1"/>
  <c r="L18" i="8"/>
  <c r="L17" i="16" s="1"/>
  <c r="N18" i="8"/>
  <c r="FQ18" i="8" s="1"/>
  <c r="L25" i="8"/>
  <c r="L24" i="16" s="1"/>
  <c r="L27" i="8"/>
  <c r="L26" i="16" s="1"/>
  <c r="L28" i="8"/>
  <c r="L27" i="16" s="1"/>
  <c r="L24" i="8"/>
  <c r="L23" i="16" s="1"/>
  <c r="L26" i="8"/>
  <c r="L25" i="16" s="1"/>
  <c r="L22" i="8"/>
  <c r="L21" i="16" s="1"/>
  <c r="AA52" i="8"/>
  <c r="AA40" i="8"/>
  <c r="AA26" i="8"/>
  <c r="AA18" i="8"/>
  <c r="AA24" i="8"/>
  <c r="AA19" i="8"/>
  <c r="AA45" i="8"/>
  <c r="AA56" i="8"/>
  <c r="AA44" i="8"/>
  <c r="AA42" i="8"/>
  <c r="AA38" i="8"/>
  <c r="AA49" i="8"/>
  <c r="AA51" i="8"/>
  <c r="AA50" i="8"/>
  <c r="AA20" i="8"/>
  <c r="AA41" i="8"/>
  <c r="AA53" i="8"/>
  <c r="AA28" i="8"/>
  <c r="AA21" i="8"/>
  <c r="AA57" i="8"/>
  <c r="AA59" i="8"/>
  <c r="AA58" i="8"/>
  <c r="AA46" i="8"/>
  <c r="AA30" i="8"/>
  <c r="AA27" i="8"/>
  <c r="AA34" i="8"/>
  <c r="AA54" i="8"/>
  <c r="AA29" i="8"/>
  <c r="AA48" i="8"/>
  <c r="AA32" i="8"/>
  <c r="AA33" i="8"/>
  <c r="AA61" i="8"/>
  <c r="N21" i="8"/>
  <c r="O21" i="8" s="1"/>
  <c r="N19" i="8"/>
  <c r="O19" i="8" s="1"/>
  <c r="N22" i="8"/>
  <c r="O22" i="8" s="1"/>
  <c r="N24" i="8"/>
  <c r="N25" i="8"/>
  <c r="N20" i="8"/>
  <c r="O20" i="8" s="1"/>
  <c r="N35" i="8"/>
  <c r="O35" i="8" s="1"/>
  <c r="N42" i="8"/>
  <c r="O42" i="8" s="1"/>
  <c r="N27" i="8"/>
  <c r="O27" i="8" s="1"/>
  <c r="N36" i="8"/>
  <c r="FQ36" i="8" s="1"/>
  <c r="N33" i="8"/>
  <c r="O33" i="8" s="1"/>
  <c r="N41" i="8"/>
  <c r="FQ41" i="8" s="1"/>
  <c r="N60" i="8"/>
  <c r="O60" i="8" s="1"/>
  <c r="N32" i="8"/>
  <c r="FQ32" i="8" s="1"/>
  <c r="FM32" i="8" s="1"/>
  <c r="N45" i="8"/>
  <c r="O45" i="8" s="1"/>
  <c r="N30" i="8"/>
  <c r="O30" i="8" s="1"/>
  <c r="N40" i="8"/>
  <c r="O40" i="8" s="1"/>
  <c r="N29" i="8"/>
  <c r="O29" i="8" s="1"/>
  <c r="N26" i="8"/>
  <c r="FQ26" i="8" s="1"/>
  <c r="FM26" i="8" s="1"/>
  <c r="N48" i="8"/>
  <c r="FQ48" i="8" s="1"/>
  <c r="N38" i="8"/>
  <c r="O38" i="8" s="1"/>
  <c r="N28" i="8"/>
  <c r="O28" i="8" s="1"/>
  <c r="N34" i="8"/>
  <c r="O34" i="8" s="1"/>
  <c r="AA60" i="8"/>
  <c r="N54" i="8"/>
  <c r="O54" i="8" s="1"/>
  <c r="N56" i="8"/>
  <c r="FQ56" i="8" s="1"/>
  <c r="N57" i="8"/>
  <c r="O57" i="8" s="1"/>
  <c r="N46" i="8"/>
  <c r="O46" i="8" s="1"/>
  <c r="N50" i="8"/>
  <c r="O50" i="8" s="1"/>
  <c r="N44" i="8"/>
  <c r="O44" i="8" s="1"/>
  <c r="N37" i="8"/>
  <c r="O37" i="8" s="1"/>
  <c r="N62" i="8"/>
  <c r="O62" i="8" s="1"/>
  <c r="N58" i="8"/>
  <c r="O58" i="8" s="1"/>
  <c r="N53" i="8"/>
  <c r="O53" i="8" s="1"/>
  <c r="N52" i="8"/>
  <c r="O52" i="8" s="1"/>
  <c r="L46" i="8"/>
  <c r="L45" i="16" s="1"/>
  <c r="N51" i="8"/>
  <c r="O51" i="8" s="1"/>
  <c r="N49" i="8"/>
  <c r="O49" i="8" s="1"/>
  <c r="N43" i="8"/>
  <c r="O43" i="8" s="1"/>
  <c r="N61" i="8"/>
  <c r="O61" i="8" s="1"/>
  <c r="N59" i="8"/>
  <c r="O59" i="8" s="1"/>
  <c r="HF39" i="8" l="1"/>
  <c r="HI39" i="8" s="1"/>
  <c r="HJ39" i="8" s="1"/>
  <c r="HK39" i="8" s="1"/>
  <c r="HF29" i="8"/>
  <c r="A23" i="14"/>
  <c r="HF24" i="8"/>
  <c r="HF55" i="8"/>
  <c r="HI55" i="8" s="1"/>
  <c r="HJ55" i="8" s="1"/>
  <c r="HK55" i="8" s="1"/>
  <c r="HF47" i="8"/>
  <c r="HI47" i="8" s="1"/>
  <c r="HJ47" i="8" s="1"/>
  <c r="HK47" i="8" s="1"/>
  <c r="HF31" i="8"/>
  <c r="HI31" i="8" s="1"/>
  <c r="HJ31" i="8" s="1"/>
  <c r="HK31" i="8" s="1"/>
  <c r="HF25" i="8"/>
  <c r="A39" i="13"/>
  <c r="B39" i="8" s="1"/>
  <c r="B38" i="16" s="1"/>
  <c r="A39" i="20"/>
  <c r="A23" i="9"/>
  <c r="HS20" i="8"/>
  <c r="HS21" i="8"/>
  <c r="HF57" i="8"/>
  <c r="HS19" i="8"/>
  <c r="HS22" i="8"/>
  <c r="K60" i="8"/>
  <c r="K59" i="16" s="1"/>
  <c r="HS40" i="8"/>
  <c r="HF40" i="8"/>
  <c r="HS56" i="8"/>
  <c r="HF56" i="8"/>
  <c r="HS48" i="8"/>
  <c r="HF48" i="8"/>
  <c r="HS32" i="8"/>
  <c r="HF32" i="8"/>
  <c r="HS24" i="8"/>
  <c r="HO24" i="8" s="1"/>
  <c r="HS54" i="8"/>
  <c r="HF54" i="8"/>
  <c r="HS42" i="8"/>
  <c r="HF42" i="8"/>
  <c r="HS53" i="8"/>
  <c r="HF53" i="8"/>
  <c r="HS59" i="8"/>
  <c r="HF59" i="8"/>
  <c r="HS61" i="8"/>
  <c r="HF61" i="8"/>
  <c r="HS62" i="8"/>
  <c r="HF62" i="8"/>
  <c r="HS46" i="8"/>
  <c r="HF46" i="8"/>
  <c r="HS36" i="8"/>
  <c r="HF36" i="8"/>
  <c r="HS57" i="8"/>
  <c r="HS37" i="8"/>
  <c r="HF37" i="8"/>
  <c r="HS51" i="8"/>
  <c r="HF51" i="8"/>
  <c r="HS34" i="8"/>
  <c r="HF34" i="8"/>
  <c r="HS49" i="8"/>
  <c r="HF49" i="8"/>
  <c r="HS60" i="8"/>
  <c r="HF60" i="8"/>
  <c r="HS43" i="8"/>
  <c r="HF43" i="8"/>
  <c r="HS18" i="8"/>
  <c r="HS30" i="8"/>
  <c r="HF30" i="8"/>
  <c r="HS35" i="8"/>
  <c r="HF35" i="8"/>
  <c r="HS33" i="8"/>
  <c r="HF33" i="8"/>
  <c r="HS26" i="8"/>
  <c r="HO26" i="8" s="1"/>
  <c r="HF26" i="8"/>
  <c r="HS41" i="8"/>
  <c r="HF41" i="8"/>
  <c r="HS38" i="8"/>
  <c r="HF38" i="8"/>
  <c r="HS27" i="8"/>
  <c r="HF27" i="8"/>
  <c r="O24" i="8"/>
  <c r="O23" i="16" s="1"/>
  <c r="HS25" i="8"/>
  <c r="HS50" i="8"/>
  <c r="HF50" i="8"/>
  <c r="HS52" i="8"/>
  <c r="HF52" i="8"/>
  <c r="HS45" i="8"/>
  <c r="HF45" i="8"/>
  <c r="HS28" i="8"/>
  <c r="HF28" i="8"/>
  <c r="HS44" i="8"/>
  <c r="HF44" i="8"/>
  <c r="HS58" i="8"/>
  <c r="HF58" i="8"/>
  <c r="HF23" i="8"/>
  <c r="HS29" i="8"/>
  <c r="O25" i="8"/>
  <c r="O24" i="16" s="1"/>
  <c r="FJ25" i="8"/>
  <c r="HF22" i="8"/>
  <c r="HF18" i="8"/>
  <c r="HL18" i="8"/>
  <c r="HG18" i="8" s="1"/>
  <c r="HF20" i="8"/>
  <c r="K32" i="8"/>
  <c r="K31" i="16" s="1"/>
  <c r="HF21" i="8"/>
  <c r="HF19" i="8"/>
  <c r="A23" i="17"/>
  <c r="K51" i="8"/>
  <c r="K50" i="16" s="1"/>
  <c r="A23" i="15"/>
  <c r="K38" i="8"/>
  <c r="K37" i="16" s="1"/>
  <c r="A15" i="13"/>
  <c r="B17" i="8" s="1"/>
  <c r="B16" i="16" s="1"/>
  <c r="K40" i="8"/>
  <c r="K39" i="16" s="1"/>
  <c r="K36" i="8"/>
  <c r="K35" i="16" s="1"/>
  <c r="K34" i="8"/>
  <c r="K33" i="16" s="1"/>
  <c r="K29" i="8"/>
  <c r="K28" i="16" s="1"/>
  <c r="K62" i="8"/>
  <c r="K61" i="16" s="1"/>
  <c r="A15" i="24"/>
  <c r="K44" i="8"/>
  <c r="K43" i="16" s="1"/>
  <c r="A23" i="13"/>
  <c r="B23" i="8" s="1"/>
  <c r="B22" i="16" s="1"/>
  <c r="K37" i="8"/>
  <c r="K36" i="16" s="1"/>
  <c r="K56" i="8"/>
  <c r="K55" i="16" s="1"/>
  <c r="A23" i="26"/>
  <c r="K30" i="8"/>
  <c r="K29" i="16" s="1"/>
  <c r="A47" i="23"/>
  <c r="K20" i="8"/>
  <c r="K19" i="16" s="1"/>
  <c r="A47" i="17"/>
  <c r="A39" i="17"/>
  <c r="A39" i="14"/>
  <c r="K45" i="8"/>
  <c r="K44" i="16" s="1"/>
  <c r="K58" i="8"/>
  <c r="K57" i="16" s="1"/>
  <c r="K35" i="8"/>
  <c r="K34" i="16" s="1"/>
  <c r="A15" i="26"/>
  <c r="A39" i="21"/>
  <c r="A39" i="25"/>
  <c r="A39" i="9"/>
  <c r="A31" i="13"/>
  <c r="B31" i="8" s="1"/>
  <c r="B30" i="16" s="1"/>
  <c r="A39" i="24"/>
  <c r="A39" i="15"/>
  <c r="A55" i="13"/>
  <c r="B55" i="8" s="1"/>
  <c r="B54" i="16" s="1"/>
  <c r="A55" i="15"/>
  <c r="A55" i="26"/>
  <c r="A23" i="23"/>
  <c r="A55" i="17"/>
  <c r="A55" i="9"/>
  <c r="A23" i="21"/>
  <c r="A55" i="23"/>
  <c r="A55" i="14"/>
  <c r="A39" i="23"/>
  <c r="A23" i="25"/>
  <c r="A55" i="25"/>
  <c r="K53" i="8"/>
  <c r="K52" i="16" s="1"/>
  <c r="K41" i="8"/>
  <c r="K40" i="16" s="1"/>
  <c r="A23" i="24"/>
  <c r="A55" i="20"/>
  <c r="A55" i="24"/>
  <c r="K59" i="8"/>
  <c r="K58" i="16" s="1"/>
  <c r="K61" i="8"/>
  <c r="K60" i="16" s="1"/>
  <c r="K19" i="8"/>
  <c r="K18" i="16" s="1"/>
  <c r="K49" i="8"/>
  <c r="K48" i="16" s="1"/>
  <c r="K52" i="8"/>
  <c r="K51" i="16" s="1"/>
  <c r="K33" i="8"/>
  <c r="K32" i="16" s="1"/>
  <c r="A31" i="14"/>
  <c r="A31" i="26"/>
  <c r="A31" i="24"/>
  <c r="A31" i="21"/>
  <c r="A47" i="20"/>
  <c r="A47" i="13"/>
  <c r="B47" i="8" s="1"/>
  <c r="B46" i="16" s="1"/>
  <c r="A15" i="15"/>
  <c r="A47" i="15"/>
  <c r="A15" i="14"/>
  <c r="A31" i="9"/>
  <c r="A31" i="20"/>
  <c r="A15" i="21"/>
  <c r="A31" i="25"/>
  <c r="A47" i="26"/>
  <c r="A47" i="24"/>
  <c r="O56" i="8"/>
  <c r="O55" i="16" s="1"/>
  <c r="K42" i="8"/>
  <c r="K41" i="16" s="1"/>
  <c r="K57" i="8"/>
  <c r="K56" i="16" s="1"/>
  <c r="A47" i="9"/>
  <c r="A47" i="14"/>
  <c r="A31" i="17"/>
  <c r="A15" i="20"/>
  <c r="A31" i="15"/>
  <c r="A15" i="17"/>
  <c r="A47" i="25"/>
  <c r="A15" i="25"/>
  <c r="A15" i="23"/>
  <c r="O26" i="8"/>
  <c r="O25" i="16" s="1"/>
  <c r="K21" i="8"/>
  <c r="K20" i="16" s="1"/>
  <c r="K50" i="8"/>
  <c r="K49" i="16" s="1"/>
  <c r="O36" i="8"/>
  <c r="O35" i="16" s="1"/>
  <c r="K48" i="8"/>
  <c r="K47" i="16" s="1"/>
  <c r="K43" i="8"/>
  <c r="K42" i="16" s="1"/>
  <c r="O18" i="8"/>
  <c r="O17" i="16" s="1"/>
  <c r="O41" i="8"/>
  <c r="O40" i="16" s="1"/>
  <c r="O48" i="8"/>
  <c r="O47" i="16" s="1"/>
  <c r="O32" i="8"/>
  <c r="O31" i="16" s="1"/>
  <c r="U24" i="8"/>
  <c r="T23" i="16" s="1"/>
  <c r="FJ22" i="8"/>
  <c r="FC22" i="8" s="1"/>
  <c r="D43" i="8"/>
  <c r="D42" i="16" s="1"/>
  <c r="FQ43" i="8"/>
  <c r="FM43" i="8" s="1"/>
  <c r="FJ37" i="8"/>
  <c r="FC37" i="8" s="1"/>
  <c r="FQ37" i="8"/>
  <c r="FM37" i="8" s="1"/>
  <c r="FJ57" i="8"/>
  <c r="FC57" i="8" s="1"/>
  <c r="FQ57" i="8"/>
  <c r="FM57" i="8" s="1"/>
  <c r="N41" i="16"/>
  <c r="FQ42" i="8"/>
  <c r="FR42" i="8" s="1"/>
  <c r="FT42" i="8" s="1"/>
  <c r="G61" i="8"/>
  <c r="FQ61" i="8"/>
  <c r="FR61" i="8" s="1"/>
  <c r="FT61" i="8" s="1"/>
  <c r="G49" i="8"/>
  <c r="FQ49" i="8"/>
  <c r="FM49" i="8" s="1"/>
  <c r="O51" i="16"/>
  <c r="FQ52" i="8"/>
  <c r="FR52" i="8" s="1"/>
  <c r="FT52" i="8" s="1"/>
  <c r="G44" i="8"/>
  <c r="FQ44" i="8"/>
  <c r="FR44" i="8" s="1"/>
  <c r="FT44" i="8" s="1"/>
  <c r="O33" i="16"/>
  <c r="FQ34" i="8"/>
  <c r="FM34" i="8" s="1"/>
  <c r="G45" i="8"/>
  <c r="FQ45" i="8"/>
  <c r="FR45" i="8" s="1"/>
  <c r="FT45" i="8" s="1"/>
  <c r="O32" i="16"/>
  <c r="FQ33" i="8"/>
  <c r="FM33" i="8" s="1"/>
  <c r="M35" i="8"/>
  <c r="M34" i="16" s="1"/>
  <c r="FQ35" i="8"/>
  <c r="FR35" i="8" s="1"/>
  <c r="FT35" i="8" s="1"/>
  <c r="G22" i="8"/>
  <c r="FQ22" i="8"/>
  <c r="FM22" i="8" s="1"/>
  <c r="O29" i="16"/>
  <c r="FQ30" i="8"/>
  <c r="FR30" i="8" s="1"/>
  <c r="FT30" i="8" s="1"/>
  <c r="HL30" i="8" s="1"/>
  <c r="HG30" i="8" s="1"/>
  <c r="N23" i="16"/>
  <c r="FQ24" i="8"/>
  <c r="FR24" i="8" s="1"/>
  <c r="FT24" i="8" s="1"/>
  <c r="HL24" i="8" s="1"/>
  <c r="HG24" i="8" s="1"/>
  <c r="O20" i="16"/>
  <c r="FQ21" i="8"/>
  <c r="G59" i="8"/>
  <c r="FQ59" i="8"/>
  <c r="FM59" i="8" s="1"/>
  <c r="N50" i="16"/>
  <c r="FQ51" i="8"/>
  <c r="FR51" i="8" s="1"/>
  <c r="FT51" i="8" s="1"/>
  <c r="G53" i="8"/>
  <c r="FQ53" i="8"/>
  <c r="FM53" i="8" s="1"/>
  <c r="O49" i="16"/>
  <c r="FQ50" i="8"/>
  <c r="FR50" i="8" s="1"/>
  <c r="FT50" i="8" s="1"/>
  <c r="O53" i="16"/>
  <c r="FQ54" i="8"/>
  <c r="FM54" i="8" s="1"/>
  <c r="U28" i="8"/>
  <c r="T27" i="16" s="1"/>
  <c r="FQ28" i="8"/>
  <c r="FR28" i="8" s="1"/>
  <c r="FT28" i="8" s="1"/>
  <c r="M29" i="8"/>
  <c r="V29" i="8" s="1"/>
  <c r="U28" i="16" s="1"/>
  <c r="FQ29" i="8"/>
  <c r="FM29" i="8" s="1"/>
  <c r="O19" i="16"/>
  <c r="FQ20" i="8"/>
  <c r="FR20" i="8" s="1"/>
  <c r="FT20" i="8" s="1"/>
  <c r="M58" i="8"/>
  <c r="V58" i="8" s="1"/>
  <c r="U57" i="16" s="1"/>
  <c r="FQ58" i="8"/>
  <c r="FM58" i="8" s="1"/>
  <c r="M62" i="8"/>
  <c r="M61" i="16" s="1"/>
  <c r="FQ62" i="8"/>
  <c r="FM62" i="8" s="1"/>
  <c r="G46" i="8"/>
  <c r="FQ46" i="8"/>
  <c r="FM46" i="8" s="1"/>
  <c r="O37" i="16"/>
  <c r="FQ38" i="8"/>
  <c r="FR38" i="8" s="1"/>
  <c r="FT38" i="8" s="1"/>
  <c r="HL38" i="8" s="1"/>
  <c r="HG38" i="8" s="1"/>
  <c r="G40" i="8"/>
  <c r="FQ40" i="8"/>
  <c r="FR40" i="8" s="1"/>
  <c r="FT40" i="8" s="1"/>
  <c r="HL40" i="8" s="1"/>
  <c r="HG40" i="8" s="1"/>
  <c r="O59" i="16"/>
  <c r="FQ60" i="8"/>
  <c r="FM60" i="8" s="1"/>
  <c r="G27" i="8"/>
  <c r="FQ27" i="8"/>
  <c r="FR27" i="8" s="1"/>
  <c r="FT27" i="8" s="1"/>
  <c r="HL27" i="8" s="1"/>
  <c r="HG27" i="8" s="1"/>
  <c r="FQ25" i="8"/>
  <c r="FM25" i="8" s="1"/>
  <c r="FJ19" i="8"/>
  <c r="FC19" i="8" s="1"/>
  <c r="FQ19" i="8"/>
  <c r="FM19" i="8" s="1"/>
  <c r="K54" i="8"/>
  <c r="K53" i="16" s="1"/>
  <c r="K27" i="8"/>
  <c r="K26" i="16" s="1"/>
  <c r="K18" i="8"/>
  <c r="K17" i="16" s="1"/>
  <c r="D18" i="8"/>
  <c r="M18" i="8"/>
  <c r="V18" i="8" s="1"/>
  <c r="N26" i="16"/>
  <c r="K28" i="8"/>
  <c r="K27" i="16" s="1"/>
  <c r="D26" i="8"/>
  <c r="D30" i="8"/>
  <c r="G24" i="8"/>
  <c r="K26" i="8"/>
  <c r="K25" i="16" s="1"/>
  <c r="K25" i="8"/>
  <c r="K24" i="16" s="1"/>
  <c r="K22" i="8"/>
  <c r="K21" i="16" s="1"/>
  <c r="K24" i="8"/>
  <c r="K23" i="16" s="1"/>
  <c r="D22" i="8"/>
  <c r="U19" i="8"/>
  <c r="T18" i="16" s="1"/>
  <c r="U18" i="8"/>
  <c r="T17" i="16" s="1"/>
  <c r="G18" i="8"/>
  <c r="FR18" i="8"/>
  <c r="FT18" i="8" s="1"/>
  <c r="O27" i="16"/>
  <c r="D20" i="8"/>
  <c r="D28" i="8"/>
  <c r="N17" i="16"/>
  <c r="O21" i="16"/>
  <c r="FJ21" i="8"/>
  <c r="FC21" i="8" s="1"/>
  <c r="HW21" i="8" s="1"/>
  <c r="HY21" i="8" s="1"/>
  <c r="N21" i="16"/>
  <c r="D32" i="8"/>
  <c r="U22" i="8"/>
  <c r="T21" i="16" s="1"/>
  <c r="FJ18" i="8"/>
  <c r="FC18" i="8" s="1"/>
  <c r="M22" i="8"/>
  <c r="M21" i="16" s="1"/>
  <c r="M21" i="8"/>
  <c r="M20" i="16" s="1"/>
  <c r="N34" i="16"/>
  <c r="O44" i="16"/>
  <c r="FJ33" i="8"/>
  <c r="FC33" i="8" s="1"/>
  <c r="U21" i="8"/>
  <c r="T20" i="16" s="1"/>
  <c r="N32" i="16"/>
  <c r="N20" i="16"/>
  <c r="G35" i="8"/>
  <c r="G42" i="8"/>
  <c r="U35" i="8"/>
  <c r="T34" i="16" s="1"/>
  <c r="G21" i="8"/>
  <c r="D45" i="8"/>
  <c r="D35" i="8"/>
  <c r="G19" i="8"/>
  <c r="N44" i="16"/>
  <c r="FJ24" i="8"/>
  <c r="FC24" i="8" s="1"/>
  <c r="M28" i="8"/>
  <c r="M27" i="16" s="1"/>
  <c r="D21" i="8"/>
  <c r="M33" i="8"/>
  <c r="V33" i="8" s="1"/>
  <c r="U32" i="16" s="1"/>
  <c r="U33" i="8"/>
  <c r="T32" i="16" s="1"/>
  <c r="M19" i="8"/>
  <c r="M18" i="16" s="1"/>
  <c r="D19" i="8"/>
  <c r="N18" i="16"/>
  <c r="O18" i="16"/>
  <c r="G20" i="8"/>
  <c r="M20" i="8"/>
  <c r="M19" i="16" s="1"/>
  <c r="U20" i="8"/>
  <c r="T19" i="16" s="1"/>
  <c r="M60" i="8"/>
  <c r="M59" i="16" s="1"/>
  <c r="FJ30" i="8"/>
  <c r="FC30" i="8" s="1"/>
  <c r="M48" i="8"/>
  <c r="M47" i="16" s="1"/>
  <c r="N47" i="16"/>
  <c r="M27" i="8"/>
  <c r="M26" i="16" s="1"/>
  <c r="D60" i="8"/>
  <c r="D27" i="8"/>
  <c r="D25" i="8"/>
  <c r="E25" i="8" s="1"/>
  <c r="N24" i="16"/>
  <c r="U41" i="8"/>
  <c r="T40" i="16" s="1"/>
  <c r="M24" i="8"/>
  <c r="V24" i="8" s="1"/>
  <c r="U23" i="16" s="1"/>
  <c r="U29" i="8"/>
  <c r="T28" i="16" s="1"/>
  <c r="G28" i="8"/>
  <c r="D42" i="8"/>
  <c r="FC25" i="8"/>
  <c r="G41" i="8"/>
  <c r="D33" i="8"/>
  <c r="O41" i="16"/>
  <c r="FJ41" i="8"/>
  <c r="FC41" i="8" s="1"/>
  <c r="FJ35" i="8"/>
  <c r="FC35" i="8" s="1"/>
  <c r="D24" i="8"/>
  <c r="M42" i="8"/>
  <c r="V42" i="8" s="1"/>
  <c r="U41" i="16" s="1"/>
  <c r="M41" i="8"/>
  <c r="M40" i="16" s="1"/>
  <c r="G25" i="8"/>
  <c r="D41" i="8"/>
  <c r="M26" i="8"/>
  <c r="V26" i="8" s="1"/>
  <c r="U25" i="16" s="1"/>
  <c r="FJ42" i="8"/>
  <c r="FC42" i="8" s="1"/>
  <c r="N40" i="16"/>
  <c r="M25" i="8"/>
  <c r="V25" i="8" s="1"/>
  <c r="U24" i="16" s="1"/>
  <c r="U42" i="8"/>
  <c r="T41" i="16" s="1"/>
  <c r="O34" i="16"/>
  <c r="G33" i="8"/>
  <c r="U45" i="8"/>
  <c r="T44" i="16" s="1"/>
  <c r="FJ45" i="8"/>
  <c r="FC45" i="8" s="1"/>
  <c r="D29" i="8"/>
  <c r="U25" i="8"/>
  <c r="T24" i="16" s="1"/>
  <c r="M45" i="8"/>
  <c r="V45" i="8" s="1"/>
  <c r="U44" i="16" s="1"/>
  <c r="O26" i="16"/>
  <c r="FJ20" i="8"/>
  <c r="FC20" i="8" s="1"/>
  <c r="FJ27" i="8"/>
  <c r="FC27" i="8" s="1"/>
  <c r="FJ48" i="8"/>
  <c r="FC48" i="8" s="1"/>
  <c r="D48" i="8"/>
  <c r="N19" i="16"/>
  <c r="U27" i="8"/>
  <c r="T26" i="16" s="1"/>
  <c r="FJ60" i="8"/>
  <c r="FC60" i="8" s="1"/>
  <c r="O43" i="16"/>
  <c r="U44" i="8"/>
  <c r="T43" i="16" s="1"/>
  <c r="M44" i="8"/>
  <c r="U40" i="8"/>
  <c r="T39" i="16" s="1"/>
  <c r="D36" i="8"/>
  <c r="FJ32" i="8"/>
  <c r="FC32" i="8" s="1"/>
  <c r="HW32" i="8" s="1"/>
  <c r="HY32" i="8" s="1"/>
  <c r="D40" i="8"/>
  <c r="U62" i="8"/>
  <c r="T61" i="16" s="1"/>
  <c r="N31" i="16"/>
  <c r="N35" i="16"/>
  <c r="D51" i="8"/>
  <c r="U32" i="8"/>
  <c r="T31" i="16" s="1"/>
  <c r="N37" i="16"/>
  <c r="U36" i="8"/>
  <c r="T35" i="16" s="1"/>
  <c r="N39" i="16"/>
  <c r="G36" i="8"/>
  <c r="M36" i="8"/>
  <c r="FJ36" i="8"/>
  <c r="FC36" i="8" s="1"/>
  <c r="M40" i="8"/>
  <c r="U38" i="8"/>
  <c r="T37" i="16" s="1"/>
  <c r="G32" i="8"/>
  <c r="FJ40" i="8"/>
  <c r="FC40" i="8" s="1"/>
  <c r="M32" i="8"/>
  <c r="O39" i="16"/>
  <c r="D44" i="8"/>
  <c r="U60" i="8"/>
  <c r="T59" i="16" s="1"/>
  <c r="G48" i="8"/>
  <c r="FJ43" i="8"/>
  <c r="FC43" i="8" s="1"/>
  <c r="N59" i="16"/>
  <c r="U30" i="8"/>
  <c r="T29" i="16" s="1"/>
  <c r="G60" i="8"/>
  <c r="U48" i="8"/>
  <c r="T47" i="16" s="1"/>
  <c r="G62" i="8"/>
  <c r="N33" i="16"/>
  <c r="G26" i="8"/>
  <c r="G57" i="8"/>
  <c r="G30" i="8"/>
  <c r="N29" i="16"/>
  <c r="M30" i="8"/>
  <c r="G34" i="8"/>
  <c r="N25" i="16"/>
  <c r="U57" i="8"/>
  <c r="T56" i="16" s="1"/>
  <c r="FJ26" i="8"/>
  <c r="FC26" i="8" s="1"/>
  <c r="M37" i="8"/>
  <c r="U26" i="8"/>
  <c r="T25" i="16" s="1"/>
  <c r="O28" i="16"/>
  <c r="N28" i="16"/>
  <c r="D62" i="8"/>
  <c r="O61" i="16"/>
  <c r="G29" i="8"/>
  <c r="FJ29" i="8"/>
  <c r="FC29" i="8" s="1"/>
  <c r="HW29" i="8" s="1"/>
  <c r="HY29" i="8" s="1"/>
  <c r="D38" i="8"/>
  <c r="FJ38" i="8"/>
  <c r="FC38" i="8" s="1"/>
  <c r="N61" i="16"/>
  <c r="M38" i="8"/>
  <c r="G38" i="8"/>
  <c r="FJ56" i="8"/>
  <c r="FC56" i="8" s="1"/>
  <c r="M56" i="8"/>
  <c r="N51" i="16"/>
  <c r="FJ62" i="8"/>
  <c r="FC62" i="8" s="1"/>
  <c r="FJ44" i="8"/>
  <c r="FC44" i="8" s="1"/>
  <c r="N27" i="16"/>
  <c r="N43" i="16"/>
  <c r="FJ28" i="8"/>
  <c r="FC28" i="8" s="1"/>
  <c r="M34" i="8"/>
  <c r="FJ34" i="8"/>
  <c r="FC34" i="8" s="1"/>
  <c r="U34" i="8"/>
  <c r="T33" i="16" s="1"/>
  <c r="U37" i="8"/>
  <c r="T36" i="16" s="1"/>
  <c r="D34" i="8"/>
  <c r="N36" i="16"/>
  <c r="N56" i="16"/>
  <c r="D52" i="8"/>
  <c r="D37" i="8"/>
  <c r="O56" i="16"/>
  <c r="O36" i="16"/>
  <c r="G37" i="8"/>
  <c r="D57" i="8"/>
  <c r="M57" i="8"/>
  <c r="O48" i="16"/>
  <c r="M54" i="8"/>
  <c r="O52" i="16"/>
  <c r="N52" i="16"/>
  <c r="FJ53" i="8"/>
  <c r="FC53" i="8" s="1"/>
  <c r="N60" i="16"/>
  <c r="FJ54" i="8"/>
  <c r="FC54" i="8" s="1"/>
  <c r="FJ49" i="8"/>
  <c r="FC49" i="8" s="1"/>
  <c r="U46" i="8"/>
  <c r="T45" i="16" s="1"/>
  <c r="D54" i="8"/>
  <c r="FJ46" i="8"/>
  <c r="FC46" i="8" s="1"/>
  <c r="N53" i="16"/>
  <c r="M46" i="8"/>
  <c r="G54" i="8"/>
  <c r="O45" i="16"/>
  <c r="D46" i="8"/>
  <c r="U54" i="8"/>
  <c r="T53" i="16" s="1"/>
  <c r="N45" i="16"/>
  <c r="U56" i="8"/>
  <c r="T55" i="16" s="1"/>
  <c r="G51" i="8"/>
  <c r="D56" i="8"/>
  <c r="M50" i="8"/>
  <c r="M51" i="8"/>
  <c r="N55" i="16"/>
  <c r="N49" i="16"/>
  <c r="G56" i="8"/>
  <c r="FJ51" i="8"/>
  <c r="FC51" i="8" s="1"/>
  <c r="U51" i="8"/>
  <c r="T50" i="16" s="1"/>
  <c r="D50" i="8"/>
  <c r="FJ50" i="8"/>
  <c r="FC50" i="8" s="1"/>
  <c r="O50" i="16"/>
  <c r="U50" i="8"/>
  <c r="T49" i="16" s="1"/>
  <c r="G50" i="8"/>
  <c r="G52" i="8"/>
  <c r="G58" i="8"/>
  <c r="M52" i="8"/>
  <c r="FJ52" i="8"/>
  <c r="FC52" i="8" s="1"/>
  <c r="HW52" i="8" s="1"/>
  <c r="U52" i="8"/>
  <c r="T51" i="16" s="1"/>
  <c r="O57" i="16"/>
  <c r="M43" i="8"/>
  <c r="U49" i="8"/>
  <c r="T48" i="16" s="1"/>
  <c r="U61" i="8"/>
  <c r="T60" i="16" s="1"/>
  <c r="FJ61" i="8"/>
  <c r="FC61" i="8" s="1"/>
  <c r="N57" i="16"/>
  <c r="D61" i="8"/>
  <c r="D53" i="8"/>
  <c r="U58" i="8"/>
  <c r="T57" i="16" s="1"/>
  <c r="D58" i="8"/>
  <c r="M53" i="8"/>
  <c r="O60" i="16"/>
  <c r="M49" i="8"/>
  <c r="U53" i="8"/>
  <c r="T52" i="16" s="1"/>
  <c r="FJ58" i="8"/>
  <c r="FC58" i="8" s="1"/>
  <c r="N48" i="16"/>
  <c r="K46" i="8"/>
  <c r="K45" i="16" s="1"/>
  <c r="M61" i="8"/>
  <c r="D49" i="8"/>
  <c r="G43" i="8"/>
  <c r="N42" i="16"/>
  <c r="U43" i="8"/>
  <c r="T42" i="16" s="1"/>
  <c r="O42" i="16"/>
  <c r="M59" i="8"/>
  <c r="O58" i="16"/>
  <c r="N58" i="16"/>
  <c r="D59" i="8"/>
  <c r="FJ59" i="8"/>
  <c r="FC59" i="8" s="1"/>
  <c r="U59" i="8"/>
  <c r="T58" i="16" s="1"/>
  <c r="FM41" i="8"/>
  <c r="FR41" i="8"/>
  <c r="FT41" i="8" s="1"/>
  <c r="HL41" i="8" s="1"/>
  <c r="HG41" i="8" s="1"/>
  <c r="FR48" i="8"/>
  <c r="FT48" i="8" s="1"/>
  <c r="HL48" i="8" s="1"/>
  <c r="HG48" i="8" s="1"/>
  <c r="FM48" i="8"/>
  <c r="FM36" i="8"/>
  <c r="FR36" i="8"/>
  <c r="FT36" i="8" s="1"/>
  <c r="FR56" i="8"/>
  <c r="FT56" i="8" s="1"/>
  <c r="HL56" i="8" s="1"/>
  <c r="HG56" i="8" s="1"/>
  <c r="FM56" i="8"/>
  <c r="U17" i="16" l="1"/>
  <c r="FU35" i="8"/>
  <c r="FW35" i="8" s="1"/>
  <c r="HW35" i="8"/>
  <c r="HY35" i="8" s="1"/>
  <c r="FU24" i="8"/>
  <c r="FW24" i="8" s="1"/>
  <c r="HW24" i="8"/>
  <c r="HY24" i="8" s="1"/>
  <c r="FU22" i="8"/>
  <c r="FW22" i="8" s="1"/>
  <c r="HW22" i="8"/>
  <c r="HY22" i="8" s="1"/>
  <c r="FU49" i="8"/>
  <c r="FY49" i="8" s="1"/>
  <c r="HW49" i="8"/>
  <c r="FU18" i="8"/>
  <c r="FW18" i="8" s="1"/>
  <c r="HW18" i="8"/>
  <c r="HY18" i="8" s="1"/>
  <c r="FU54" i="8"/>
  <c r="FY54" i="8" s="1"/>
  <c r="HW54" i="8"/>
  <c r="FU38" i="8"/>
  <c r="FW38" i="8" s="1"/>
  <c r="HW38" i="8"/>
  <c r="HY38" i="8" s="1"/>
  <c r="FU40" i="8"/>
  <c r="FY40" i="8" s="1"/>
  <c r="GA40" i="8" s="1"/>
  <c r="HW40" i="8"/>
  <c r="FU41" i="8"/>
  <c r="FW41" i="8" s="1"/>
  <c r="FZ41" i="8" s="1"/>
  <c r="HW41" i="8"/>
  <c r="FU45" i="8"/>
  <c r="FY45" i="8" s="1"/>
  <c r="GA45" i="8" s="1"/>
  <c r="HW45" i="8"/>
  <c r="FU30" i="8"/>
  <c r="FW30" i="8" s="1"/>
  <c r="HW30" i="8"/>
  <c r="HY30" i="8" s="1"/>
  <c r="FU34" i="8"/>
  <c r="FW34" i="8" s="1"/>
  <c r="HW34" i="8"/>
  <c r="HY34" i="8" s="1"/>
  <c r="FU36" i="8"/>
  <c r="FW36" i="8" s="1"/>
  <c r="HW36" i="8"/>
  <c r="HY36" i="8" s="1"/>
  <c r="FU25" i="8"/>
  <c r="FW25" i="8" s="1"/>
  <c r="HW25" i="8"/>
  <c r="HY25" i="8" s="1"/>
  <c r="FU59" i="8"/>
  <c r="FW59" i="8" s="1"/>
  <c r="HW59" i="8"/>
  <c r="HY52" i="8"/>
  <c r="IA52" i="8"/>
  <c r="FU60" i="8"/>
  <c r="FW60" i="8" s="1"/>
  <c r="HW60" i="8"/>
  <c r="FU58" i="8"/>
  <c r="FW58" i="8" s="1"/>
  <c r="HW58" i="8"/>
  <c r="FU28" i="8"/>
  <c r="FW28" i="8" s="1"/>
  <c r="HW28" i="8"/>
  <c r="HY28" i="8" s="1"/>
  <c r="FU44" i="8"/>
  <c r="FW44" i="8" s="1"/>
  <c r="HW44" i="8"/>
  <c r="FU42" i="8"/>
  <c r="FW42" i="8" s="1"/>
  <c r="HW42" i="8"/>
  <c r="FU53" i="8"/>
  <c r="FW53" i="8" s="1"/>
  <c r="HW53" i="8"/>
  <c r="FU50" i="8"/>
  <c r="FW50" i="8" s="1"/>
  <c r="HW50" i="8"/>
  <c r="FU57" i="8"/>
  <c r="FW57" i="8" s="1"/>
  <c r="HW57" i="8"/>
  <c r="FU62" i="8"/>
  <c r="FW62" i="8" s="1"/>
  <c r="HW62" i="8"/>
  <c r="FU26" i="8"/>
  <c r="FW26" i="8" s="1"/>
  <c r="HW26" i="8"/>
  <c r="HY26" i="8" s="1"/>
  <c r="FU43" i="8"/>
  <c r="HW43" i="8"/>
  <c r="FU48" i="8"/>
  <c r="FY48" i="8" s="1"/>
  <c r="GA48" i="8" s="1"/>
  <c r="FF48" i="8" s="1"/>
  <c r="HW48" i="8"/>
  <c r="FU33" i="8"/>
  <c r="FW33" i="8" s="1"/>
  <c r="HW33" i="8"/>
  <c r="HY33" i="8" s="1"/>
  <c r="FU27" i="8"/>
  <c r="FW27" i="8" s="1"/>
  <c r="HW27" i="8"/>
  <c r="HY27" i="8" s="1"/>
  <c r="FU37" i="8"/>
  <c r="FW37" i="8" s="1"/>
  <c r="HW37" i="8"/>
  <c r="HY37" i="8" s="1"/>
  <c r="FU61" i="8"/>
  <c r="FW61" i="8" s="1"/>
  <c r="HW61" i="8"/>
  <c r="FU51" i="8"/>
  <c r="FY51" i="8" s="1"/>
  <c r="GA51" i="8" s="1"/>
  <c r="HW51" i="8"/>
  <c r="FU46" i="8"/>
  <c r="HW46" i="8"/>
  <c r="FU56" i="8"/>
  <c r="HW56" i="8"/>
  <c r="FU20" i="8"/>
  <c r="FW20" i="8" s="1"/>
  <c r="HW20" i="8"/>
  <c r="HY20" i="8" s="1"/>
  <c r="FU19" i="8"/>
  <c r="FW19" i="8" s="1"/>
  <c r="HW19" i="8"/>
  <c r="HY19" i="8" s="1"/>
  <c r="HR18" i="8"/>
  <c r="HT18" i="8" s="1"/>
  <c r="HL61" i="8"/>
  <c r="HG61" i="8" s="1"/>
  <c r="HL35" i="8"/>
  <c r="HG35" i="8" s="1"/>
  <c r="HL45" i="8"/>
  <c r="HG45" i="8" s="1"/>
  <c r="HO20" i="8"/>
  <c r="HR20" i="8"/>
  <c r="HL51" i="8"/>
  <c r="HG51" i="8" s="1"/>
  <c r="HL20" i="8"/>
  <c r="HG20" i="8" s="1"/>
  <c r="FU32" i="8"/>
  <c r="FW32" i="8" s="1"/>
  <c r="FU29" i="8"/>
  <c r="FW29" i="8" s="1"/>
  <c r="W58" i="8"/>
  <c r="R58" i="8"/>
  <c r="W29" i="8"/>
  <c r="R29" i="8"/>
  <c r="W26" i="8"/>
  <c r="R26" i="8"/>
  <c r="W30" i="8"/>
  <c r="R30" i="8"/>
  <c r="GR30" i="8" s="1"/>
  <c r="W52" i="8"/>
  <c r="R52" i="8"/>
  <c r="W19" i="8"/>
  <c r="R19" i="8"/>
  <c r="W44" i="8"/>
  <c r="R44" i="8"/>
  <c r="Q43" i="16" s="1"/>
  <c r="W59" i="8"/>
  <c r="R59" i="8"/>
  <c r="Q58" i="16" s="1"/>
  <c r="W33" i="8"/>
  <c r="R33" i="8"/>
  <c r="W27" i="8"/>
  <c r="R27" i="8"/>
  <c r="GR27" i="8" s="1"/>
  <c r="W60" i="8"/>
  <c r="R60" i="8"/>
  <c r="W41" i="8"/>
  <c r="R41" i="8"/>
  <c r="W21" i="8"/>
  <c r="R21" i="8"/>
  <c r="W24" i="8"/>
  <c r="R24" i="8"/>
  <c r="W36" i="8"/>
  <c r="R36" i="8"/>
  <c r="W49" i="8"/>
  <c r="R49" i="8"/>
  <c r="GR49" i="8" s="1"/>
  <c r="W50" i="8"/>
  <c r="R50" i="8"/>
  <c r="W37" i="8"/>
  <c r="R37" i="8"/>
  <c r="W20" i="8"/>
  <c r="R20" i="8"/>
  <c r="W42" i="8"/>
  <c r="R42" i="8"/>
  <c r="W32" i="8"/>
  <c r="R32" i="8"/>
  <c r="W54" i="8"/>
  <c r="R54" i="8"/>
  <c r="W28" i="8"/>
  <c r="R28" i="8"/>
  <c r="W35" i="8"/>
  <c r="R35" i="8"/>
  <c r="GR35" i="8" s="1"/>
  <c r="W40" i="8"/>
  <c r="R40" i="8"/>
  <c r="Q39" i="16" s="1"/>
  <c r="W22" i="8"/>
  <c r="R22" i="8"/>
  <c r="W61" i="8"/>
  <c r="R61" i="8"/>
  <c r="Q60" i="16" s="1"/>
  <c r="W48" i="8"/>
  <c r="R48" i="8"/>
  <c r="W57" i="8"/>
  <c r="R57" i="8"/>
  <c r="Q56" i="16" s="1"/>
  <c r="W62" i="8"/>
  <c r="R62" i="8"/>
  <c r="GR62" i="8" s="1"/>
  <c r="W43" i="8"/>
  <c r="R43" i="8"/>
  <c r="W38" i="8"/>
  <c r="R38" i="8"/>
  <c r="GR38" i="8" s="1"/>
  <c r="W34" i="8"/>
  <c r="R34" i="8"/>
  <c r="W51" i="8"/>
  <c r="R51" i="8"/>
  <c r="W25" i="8"/>
  <c r="R25" i="8"/>
  <c r="Q24" i="16" s="1"/>
  <c r="W46" i="8"/>
  <c r="R46" i="8"/>
  <c r="GR46" i="8" s="1"/>
  <c r="W53" i="8"/>
  <c r="R53" i="8"/>
  <c r="Q52" i="16" s="1"/>
  <c r="W56" i="8"/>
  <c r="R56" i="8"/>
  <c r="W18" i="8"/>
  <c r="R18" i="8"/>
  <c r="W45" i="8"/>
  <c r="R45" i="8"/>
  <c r="Q44" i="16" s="1"/>
  <c r="V62" i="8"/>
  <c r="U61" i="16" s="1"/>
  <c r="V35" i="8"/>
  <c r="U34" i="16" s="1"/>
  <c r="FU52" i="8"/>
  <c r="FW52" i="8" s="1"/>
  <c r="M57" i="16"/>
  <c r="M28" i="16"/>
  <c r="FR21" i="8"/>
  <c r="FT21" i="8" s="1"/>
  <c r="FM21" i="8"/>
  <c r="P43" i="8"/>
  <c r="G52" i="16"/>
  <c r="E43" i="8"/>
  <c r="F43" i="8" s="1"/>
  <c r="G39" i="16"/>
  <c r="G58" i="16"/>
  <c r="G43" i="16"/>
  <c r="G21" i="16"/>
  <c r="G26" i="16"/>
  <c r="G60" i="16"/>
  <c r="G45" i="16"/>
  <c r="G48" i="16"/>
  <c r="G44" i="16"/>
  <c r="FU21" i="8"/>
  <c r="FW21" i="8" s="1"/>
  <c r="M17" i="16"/>
  <c r="G35" i="16"/>
  <c r="G19" i="16"/>
  <c r="G42" i="16"/>
  <c r="G36" i="16"/>
  <c r="G25" i="16"/>
  <c r="G32" i="16"/>
  <c r="G40" i="16"/>
  <c r="G23" i="16"/>
  <c r="G50" i="16"/>
  <c r="G53" i="16"/>
  <c r="G28" i="16"/>
  <c r="G33" i="16"/>
  <c r="G47" i="16"/>
  <c r="G31" i="16"/>
  <c r="G18" i="16"/>
  <c r="G20" i="16"/>
  <c r="G17" i="16"/>
  <c r="G41" i="16"/>
  <c r="G49" i="16"/>
  <c r="G59" i="16"/>
  <c r="G51" i="16"/>
  <c r="G55" i="16"/>
  <c r="D53" i="16"/>
  <c r="D47" i="16"/>
  <c r="E24" i="8"/>
  <c r="P30" i="8"/>
  <c r="D17" i="16"/>
  <c r="D58" i="16"/>
  <c r="D52" i="16"/>
  <c r="E46" i="8"/>
  <c r="F46" i="8" s="1"/>
  <c r="P40" i="8"/>
  <c r="D34" i="16"/>
  <c r="D19" i="16"/>
  <c r="D25" i="16"/>
  <c r="E26" i="8"/>
  <c r="P58" i="8"/>
  <c r="IJ58" i="8" s="1"/>
  <c r="E61" i="8"/>
  <c r="E60" i="16" s="1"/>
  <c r="P37" i="8"/>
  <c r="IJ37" i="8" s="1"/>
  <c r="E62" i="8"/>
  <c r="F62" i="8" s="1"/>
  <c r="D43" i="16"/>
  <c r="D40" i="16"/>
  <c r="P33" i="8"/>
  <c r="D26" i="16"/>
  <c r="E19" i="8"/>
  <c r="D44" i="16"/>
  <c r="D21" i="16"/>
  <c r="D28" i="16"/>
  <c r="E28" i="8"/>
  <c r="E27" i="16" s="1"/>
  <c r="D48" i="16"/>
  <c r="E38" i="8"/>
  <c r="E37" i="16" s="1"/>
  <c r="D41" i="16"/>
  <c r="D56" i="16"/>
  <c r="E34" i="8"/>
  <c r="F34" i="8" s="1"/>
  <c r="E50" i="8"/>
  <c r="E56" i="8"/>
  <c r="E55" i="16" s="1"/>
  <c r="D51" i="16"/>
  <c r="D50" i="16"/>
  <c r="P36" i="8"/>
  <c r="IJ36" i="8" s="1"/>
  <c r="D59" i="16"/>
  <c r="D20" i="16"/>
  <c r="E32" i="8"/>
  <c r="P26" i="8"/>
  <c r="IJ26" i="8" s="1"/>
  <c r="FR22" i="8"/>
  <c r="FT22" i="8" s="1"/>
  <c r="E20" i="8"/>
  <c r="P22" i="8"/>
  <c r="IJ22" i="8" s="1"/>
  <c r="E18" i="8"/>
  <c r="E22" i="8"/>
  <c r="P18" i="8"/>
  <c r="IJ18" i="8" s="1"/>
  <c r="D31" i="16"/>
  <c r="V22" i="8"/>
  <c r="FM18" i="8"/>
  <c r="P32" i="8"/>
  <c r="IJ32" i="8" s="1"/>
  <c r="FR29" i="8"/>
  <c r="FT29" i="8" s="1"/>
  <c r="P20" i="8"/>
  <c r="IJ20" i="8" s="1"/>
  <c r="P28" i="8"/>
  <c r="IJ28" i="8" s="1"/>
  <c r="D27" i="16"/>
  <c r="G34" i="16"/>
  <c r="V21" i="8"/>
  <c r="P19" i="8"/>
  <c r="IJ19" i="8" s="1"/>
  <c r="P45" i="8"/>
  <c r="IJ45" i="8" s="1"/>
  <c r="D18" i="16"/>
  <c r="FM44" i="8"/>
  <c r="FM24" i="8"/>
  <c r="FZ24" i="8" s="1"/>
  <c r="E45" i="8"/>
  <c r="M32" i="16"/>
  <c r="E35" i="8"/>
  <c r="G27" i="16"/>
  <c r="D32" i="16"/>
  <c r="FR19" i="8"/>
  <c r="FT19" i="8" s="1"/>
  <c r="FM20" i="8"/>
  <c r="P35" i="8"/>
  <c r="IJ35" i="8" s="1"/>
  <c r="V19" i="8"/>
  <c r="FM42" i="8"/>
  <c r="P21" i="8"/>
  <c r="IJ21" i="8" s="1"/>
  <c r="E21" i="8"/>
  <c r="G24" i="16"/>
  <c r="V28" i="8"/>
  <c r="U27" i="16" s="1"/>
  <c r="V20" i="8"/>
  <c r="FR32" i="8"/>
  <c r="FT32" i="8" s="1"/>
  <c r="P38" i="8"/>
  <c r="IJ38" i="8" s="1"/>
  <c r="D37" i="16"/>
  <c r="G29" i="16"/>
  <c r="E40" i="8"/>
  <c r="M44" i="16"/>
  <c r="M23" i="16"/>
  <c r="FM45" i="8"/>
  <c r="FM27" i="8"/>
  <c r="P24" i="8"/>
  <c r="IJ24" i="8" s="1"/>
  <c r="FR33" i="8"/>
  <c r="FT33" i="8" s="1"/>
  <c r="P41" i="8"/>
  <c r="IJ41" i="8" s="1"/>
  <c r="P25" i="8"/>
  <c r="IJ25" i="8" s="1"/>
  <c r="V27" i="8"/>
  <c r="U26" i="16" s="1"/>
  <c r="M24" i="16"/>
  <c r="M25" i="16"/>
  <c r="V60" i="8"/>
  <c r="U59" i="16" s="1"/>
  <c r="P60" i="8"/>
  <c r="IJ60" i="8" s="1"/>
  <c r="FR60" i="8"/>
  <c r="FT60" i="8" s="1"/>
  <c r="FR25" i="8"/>
  <c r="FT25" i="8" s="1"/>
  <c r="E27" i="8"/>
  <c r="M41" i="16"/>
  <c r="FM35" i="8"/>
  <c r="V48" i="8"/>
  <c r="U47" i="16" s="1"/>
  <c r="E60" i="8"/>
  <c r="E48" i="8"/>
  <c r="FM30" i="8"/>
  <c r="FZ30" i="8" s="1"/>
  <c r="FD30" i="8" s="1"/>
  <c r="E33" i="8"/>
  <c r="FM28" i="8"/>
  <c r="FZ28" i="8" s="1"/>
  <c r="P27" i="8"/>
  <c r="IJ27" i="8" s="1"/>
  <c r="E41" i="8"/>
  <c r="E42" i="8"/>
  <c r="D24" i="16"/>
  <c r="V41" i="8"/>
  <c r="U40" i="16" s="1"/>
  <c r="P42" i="8"/>
  <c r="IJ42" i="8" s="1"/>
  <c r="P62" i="8"/>
  <c r="IJ62" i="8" s="1"/>
  <c r="E29" i="8"/>
  <c r="D23" i="16"/>
  <c r="P29" i="8"/>
  <c r="IJ29" i="8" s="1"/>
  <c r="P48" i="8"/>
  <c r="IJ48" i="8" s="1"/>
  <c r="M52" i="16"/>
  <c r="V53" i="8"/>
  <c r="U52" i="16" s="1"/>
  <c r="M42" i="16"/>
  <c r="V43" i="8"/>
  <c r="U42" i="16" s="1"/>
  <c r="M50" i="16"/>
  <c r="V51" i="8"/>
  <c r="U50" i="16" s="1"/>
  <c r="M45" i="16"/>
  <c r="V46" i="8"/>
  <c r="U45" i="16" s="1"/>
  <c r="M56" i="16"/>
  <c r="V57" i="8"/>
  <c r="U56" i="16" s="1"/>
  <c r="M36" i="16"/>
  <c r="V37" i="8"/>
  <c r="U36" i="16" s="1"/>
  <c r="M43" i="16"/>
  <c r="V44" i="8"/>
  <c r="U43" i="16" s="1"/>
  <c r="M60" i="16"/>
  <c r="V61" i="8"/>
  <c r="U60" i="16" s="1"/>
  <c r="M49" i="16"/>
  <c r="V50" i="8"/>
  <c r="U49" i="16" s="1"/>
  <c r="M53" i="16"/>
  <c r="V54" i="8"/>
  <c r="U53" i="16" s="1"/>
  <c r="M55" i="16"/>
  <c r="V56" i="8"/>
  <c r="U55" i="16" s="1"/>
  <c r="M31" i="16"/>
  <c r="V32" i="8"/>
  <c r="U31" i="16" s="1"/>
  <c r="M48" i="16"/>
  <c r="V49" i="8"/>
  <c r="U48" i="16" s="1"/>
  <c r="M51" i="16"/>
  <c r="V52" i="8"/>
  <c r="U51" i="16" s="1"/>
  <c r="M37" i="16"/>
  <c r="V38" i="8"/>
  <c r="U37" i="16" s="1"/>
  <c r="M29" i="16"/>
  <c r="V30" i="8"/>
  <c r="U29" i="16" s="1"/>
  <c r="M35" i="16"/>
  <c r="V36" i="8"/>
  <c r="U35" i="16" s="1"/>
  <c r="M58" i="16"/>
  <c r="V59" i="8"/>
  <c r="U58" i="16" s="1"/>
  <c r="M33" i="16"/>
  <c r="V34" i="8"/>
  <c r="U33" i="16" s="1"/>
  <c r="M39" i="16"/>
  <c r="V40" i="8"/>
  <c r="U39" i="16" s="1"/>
  <c r="G37" i="16"/>
  <c r="FM40" i="8"/>
  <c r="D45" i="16"/>
  <c r="E36" i="8"/>
  <c r="P44" i="8"/>
  <c r="IJ44" i="8" s="1"/>
  <c r="E51" i="8"/>
  <c r="FR34" i="8"/>
  <c r="FT34" i="8" s="1"/>
  <c r="FR37" i="8"/>
  <c r="FT37" i="8" s="1"/>
  <c r="D35" i="16"/>
  <c r="FR26" i="8"/>
  <c r="FT26" i="8" s="1"/>
  <c r="P51" i="8"/>
  <c r="IJ51" i="8" s="1"/>
  <c r="D39" i="16"/>
  <c r="D29" i="16"/>
  <c r="D61" i="16"/>
  <c r="G56" i="16"/>
  <c r="E44" i="8"/>
  <c r="D33" i="16"/>
  <c r="E54" i="8"/>
  <c r="G61" i="16"/>
  <c r="E30" i="8"/>
  <c r="P52" i="8"/>
  <c r="IJ52" i="8" s="1"/>
  <c r="FR57" i="8"/>
  <c r="FT57" i="8" s="1"/>
  <c r="HL57" i="8" s="1"/>
  <c r="HG57" i="8" s="1"/>
  <c r="G57" i="16"/>
  <c r="FR46" i="8"/>
  <c r="FT46" i="8" s="1"/>
  <c r="HL46" i="8" s="1"/>
  <c r="HG46" i="8" s="1"/>
  <c r="FM38" i="8"/>
  <c r="P54" i="8"/>
  <c r="IJ54" i="8" s="1"/>
  <c r="FR62" i="8"/>
  <c r="FT62" i="8" s="1"/>
  <c r="HL62" i="8" s="1"/>
  <c r="HG62" i="8" s="1"/>
  <c r="E52" i="8"/>
  <c r="FR43" i="8"/>
  <c r="FT43" i="8" s="1"/>
  <c r="E37" i="8"/>
  <c r="P34" i="8"/>
  <c r="IJ34" i="8" s="1"/>
  <c r="FM52" i="8"/>
  <c r="E57" i="8"/>
  <c r="D36" i="16"/>
  <c r="D57" i="16"/>
  <c r="P57" i="8"/>
  <c r="IJ57" i="8" s="1"/>
  <c r="FR54" i="8"/>
  <c r="FT54" i="8" s="1"/>
  <c r="HL54" i="8" s="1"/>
  <c r="HG54" i="8" s="1"/>
  <c r="FR58" i="8"/>
  <c r="FT58" i="8" s="1"/>
  <c r="P46" i="8"/>
  <c r="IJ46" i="8" s="1"/>
  <c r="FR53" i="8"/>
  <c r="FT53" i="8" s="1"/>
  <c r="FR59" i="8"/>
  <c r="FT59" i="8" s="1"/>
  <c r="P50" i="8"/>
  <c r="IJ50" i="8" s="1"/>
  <c r="FM51" i="8"/>
  <c r="D60" i="16"/>
  <c r="FM50" i="8"/>
  <c r="P56" i="8"/>
  <c r="IJ56" i="8" s="1"/>
  <c r="D55" i="16"/>
  <c r="D49" i="16"/>
  <c r="FM61" i="8"/>
  <c r="FR49" i="8"/>
  <c r="FT49" i="8" s="1"/>
  <c r="HL49" i="8" s="1"/>
  <c r="HG49" i="8" s="1"/>
  <c r="P49" i="8"/>
  <c r="IJ49" i="8" s="1"/>
  <c r="E58" i="8"/>
  <c r="E49" i="8"/>
  <c r="P53" i="8"/>
  <c r="IJ53" i="8" s="1"/>
  <c r="P61" i="8"/>
  <c r="IJ61" i="8" s="1"/>
  <c r="E53" i="8"/>
  <c r="P59" i="8"/>
  <c r="IJ59" i="8" s="1"/>
  <c r="E59" i="8"/>
  <c r="FW45" i="8"/>
  <c r="FY43" i="8"/>
  <c r="FW43" i="8"/>
  <c r="FW46" i="8"/>
  <c r="FY46" i="8"/>
  <c r="FY56" i="8"/>
  <c r="GA56" i="8" s="1"/>
  <c r="FH56" i="8" s="1"/>
  <c r="FW56" i="8"/>
  <c r="FZ56" i="8" s="1"/>
  <c r="U20" i="16" l="1"/>
  <c r="U18" i="16"/>
  <c r="U19" i="16"/>
  <c r="U21" i="16"/>
  <c r="FZ26" i="8"/>
  <c r="FD26" i="8" s="1"/>
  <c r="EZ26" i="8" s="1"/>
  <c r="FW54" i="8"/>
  <c r="FY58" i="8"/>
  <c r="GA58" i="8" s="1"/>
  <c r="FH58" i="8" s="1"/>
  <c r="FY42" i="8"/>
  <c r="GA42" i="8" s="1"/>
  <c r="FH42" i="8" s="1"/>
  <c r="FY53" i="8"/>
  <c r="GA53" i="8" s="1"/>
  <c r="FH53" i="8" s="1"/>
  <c r="FG53" i="8" s="1"/>
  <c r="FY44" i="8"/>
  <c r="GA44" i="8" s="1"/>
  <c r="FF44" i="8" s="1"/>
  <c r="FW48" i="8"/>
  <c r="FZ48" i="8" s="1"/>
  <c r="FB48" i="8" s="1"/>
  <c r="FZ34" i="8"/>
  <c r="FB34" i="8" s="1"/>
  <c r="FW49" i="8"/>
  <c r="FZ49" i="8" s="1"/>
  <c r="FB49" i="8" s="1"/>
  <c r="HH20" i="8"/>
  <c r="FY50" i="8"/>
  <c r="GA50" i="8" s="1"/>
  <c r="FF50" i="8" s="1"/>
  <c r="FY60" i="8"/>
  <c r="GA60" i="8" s="1"/>
  <c r="FF60" i="8" s="1"/>
  <c r="FZ27" i="8"/>
  <c r="FD27" i="8" s="1"/>
  <c r="FY59" i="8"/>
  <c r="GA59" i="8" s="1"/>
  <c r="FF59" i="8" s="1"/>
  <c r="FZ38" i="8"/>
  <c r="FD38" i="8" s="1"/>
  <c r="FZ36" i="8"/>
  <c r="FB36" i="8" s="1"/>
  <c r="FW51" i="8"/>
  <c r="FZ51" i="8" s="1"/>
  <c r="FD51" i="8" s="1"/>
  <c r="FY41" i="8"/>
  <c r="GA41" i="8" s="1"/>
  <c r="FH41" i="8" s="1"/>
  <c r="FE41" i="8" s="1"/>
  <c r="FZ35" i="8"/>
  <c r="FD35" i="8" s="1"/>
  <c r="FY62" i="8"/>
  <c r="GA62" i="8" s="1"/>
  <c r="FF62" i="8" s="1"/>
  <c r="FZ18" i="8"/>
  <c r="FB18" i="8" s="1"/>
  <c r="EZ18" i="8" s="1"/>
  <c r="H18" i="8" s="1"/>
  <c r="FY57" i="8"/>
  <c r="GA57" i="8" s="1"/>
  <c r="FH57" i="8" s="1"/>
  <c r="FG57" i="8" s="1"/>
  <c r="IA40" i="8"/>
  <c r="HY40" i="8"/>
  <c r="HY50" i="8"/>
  <c r="IA50" i="8"/>
  <c r="IA59" i="8"/>
  <c r="HY59" i="8"/>
  <c r="IA53" i="8"/>
  <c r="HY53" i="8"/>
  <c r="IA54" i="8"/>
  <c r="HY54" i="8"/>
  <c r="HY57" i="8"/>
  <c r="IA57" i="8"/>
  <c r="IA42" i="8"/>
  <c r="HY42" i="8"/>
  <c r="HY48" i="8"/>
  <c r="IA48" i="8"/>
  <c r="IA44" i="8"/>
  <c r="HY44" i="8"/>
  <c r="HY49" i="8"/>
  <c r="IA49" i="8"/>
  <c r="IA61" i="8"/>
  <c r="HY61" i="8"/>
  <c r="IA56" i="8"/>
  <c r="HY56" i="8"/>
  <c r="HY43" i="8"/>
  <c r="IA43" i="8"/>
  <c r="HY46" i="8"/>
  <c r="IA46" i="8"/>
  <c r="IA58" i="8"/>
  <c r="HY58" i="8"/>
  <c r="HY45" i="8"/>
  <c r="IA45" i="8"/>
  <c r="FW40" i="8"/>
  <c r="HY51" i="8"/>
  <c r="IA51" i="8"/>
  <c r="HY62" i="8"/>
  <c r="IA62" i="8"/>
  <c r="HY60" i="8"/>
  <c r="IA60" i="8"/>
  <c r="HY41" i="8"/>
  <c r="IA41" i="8"/>
  <c r="FY61" i="8"/>
  <c r="GA61" i="8" s="1"/>
  <c r="FH61" i="8" s="1"/>
  <c r="FE61" i="8" s="1"/>
  <c r="FZ32" i="8"/>
  <c r="FD32" i="8" s="1"/>
  <c r="HL32" i="8"/>
  <c r="HG32" i="8" s="1"/>
  <c r="HU20" i="8"/>
  <c r="HT20" i="8"/>
  <c r="IB20" i="8"/>
  <c r="FZ22" i="8"/>
  <c r="HL42" i="8"/>
  <c r="HG42" i="8" s="1"/>
  <c r="HL43" i="8"/>
  <c r="HG43" i="8" s="1"/>
  <c r="FZ33" i="8"/>
  <c r="FD33" i="8" s="1"/>
  <c r="HO21" i="8"/>
  <c r="HR21" i="8"/>
  <c r="HL21" i="8"/>
  <c r="HG21" i="8" s="1"/>
  <c r="HL44" i="8"/>
  <c r="HG44" i="8" s="1"/>
  <c r="FZ25" i="8"/>
  <c r="FB25" i="8" s="1"/>
  <c r="HL50" i="8"/>
  <c r="HG50" i="8" s="1"/>
  <c r="HL58" i="8"/>
  <c r="HG58" i="8" s="1"/>
  <c r="HL59" i="8"/>
  <c r="HG59" i="8" s="1"/>
  <c r="FZ37" i="8"/>
  <c r="FD37" i="8" s="1"/>
  <c r="HU18" i="8"/>
  <c r="HV18" i="8" s="1"/>
  <c r="HO18" i="8"/>
  <c r="HL52" i="8"/>
  <c r="HG52" i="8" s="1"/>
  <c r="HL53" i="8"/>
  <c r="HG53" i="8" s="1"/>
  <c r="FZ29" i="8"/>
  <c r="FD29" i="8" s="1"/>
  <c r="FZ19" i="8"/>
  <c r="FB19" i="8" s="1"/>
  <c r="EZ19" i="8" s="1"/>
  <c r="H19" i="8" s="1"/>
  <c r="H18" i="16" s="1"/>
  <c r="HL60" i="8"/>
  <c r="HG60" i="8" s="1"/>
  <c r="P42" i="16"/>
  <c r="IJ43" i="8"/>
  <c r="GN40" i="8"/>
  <c r="Q40" i="8" s="1"/>
  <c r="IJ40" i="8"/>
  <c r="GN33" i="8"/>
  <c r="Q33" i="8" s="1"/>
  <c r="IJ33" i="8"/>
  <c r="GN30" i="8"/>
  <c r="Q30" i="8" s="1"/>
  <c r="IJ30" i="8"/>
  <c r="GR53" i="8"/>
  <c r="GR59" i="8"/>
  <c r="Q48" i="16"/>
  <c r="FY52" i="8"/>
  <c r="GA52" i="8" s="1"/>
  <c r="FH52" i="8" s="1"/>
  <c r="Q26" i="16"/>
  <c r="Q34" i="16"/>
  <c r="FZ21" i="8"/>
  <c r="GN43" i="8"/>
  <c r="Q43" i="8" s="1"/>
  <c r="GH43" i="8"/>
  <c r="EZ22" i="8"/>
  <c r="H22" i="8" s="1"/>
  <c r="H21" i="16" s="1"/>
  <c r="FB22" i="8"/>
  <c r="Q45" i="16"/>
  <c r="GR45" i="8"/>
  <c r="GR61" i="8"/>
  <c r="GR40" i="8"/>
  <c r="E42" i="16"/>
  <c r="GR44" i="8"/>
  <c r="FB21" i="8"/>
  <c r="EZ21" i="8" s="1"/>
  <c r="H21" i="8" s="1"/>
  <c r="Q37" i="16"/>
  <c r="FZ60" i="8"/>
  <c r="FD60" i="8" s="1"/>
  <c r="F28" i="8"/>
  <c r="F27" i="16" s="1"/>
  <c r="P39" i="16"/>
  <c r="GH40" i="8"/>
  <c r="GH58" i="8"/>
  <c r="GO58" i="8" s="1"/>
  <c r="F24" i="8"/>
  <c r="F23" i="16" s="1"/>
  <c r="E61" i="16"/>
  <c r="E31" i="16"/>
  <c r="F38" i="8"/>
  <c r="F37" i="16" s="1"/>
  <c r="E25" i="16"/>
  <c r="E23" i="16"/>
  <c r="P31" i="16"/>
  <c r="Q27" i="16"/>
  <c r="GR54" i="8"/>
  <c r="GR32" i="8"/>
  <c r="GR37" i="8"/>
  <c r="GR29" i="8"/>
  <c r="GR36" i="8"/>
  <c r="GR42" i="8"/>
  <c r="GR28" i="8"/>
  <c r="GR57" i="8"/>
  <c r="Q57" i="16"/>
  <c r="GR26" i="8"/>
  <c r="Q55" i="16"/>
  <c r="GR34" i="8"/>
  <c r="GR21" i="8"/>
  <c r="Q23" i="16"/>
  <c r="GR50" i="8"/>
  <c r="GR60" i="8"/>
  <c r="GR20" i="8"/>
  <c r="Q17" i="16"/>
  <c r="GR58" i="8"/>
  <c r="Q29" i="16"/>
  <c r="GR43" i="8"/>
  <c r="Q51" i="16"/>
  <c r="Q50" i="16"/>
  <c r="GR41" i="8"/>
  <c r="GR33" i="8"/>
  <c r="GR48" i="8"/>
  <c r="GR19" i="8"/>
  <c r="GR22" i="8"/>
  <c r="Q61" i="16"/>
  <c r="GR25" i="8"/>
  <c r="GH32" i="8"/>
  <c r="GH30" i="8"/>
  <c r="F19" i="8"/>
  <c r="F18" i="16" s="1"/>
  <c r="F45" i="16"/>
  <c r="F37" i="8"/>
  <c r="F44" i="8"/>
  <c r="GH62" i="8"/>
  <c r="GH19" i="8"/>
  <c r="GO19" i="8" s="1"/>
  <c r="GH18" i="8"/>
  <c r="GO18" i="8" s="1"/>
  <c r="GN26" i="8"/>
  <c r="Q26" i="8" s="1"/>
  <c r="GN37" i="8"/>
  <c r="Q37" i="8" s="1"/>
  <c r="E33" i="16"/>
  <c r="GN58" i="8"/>
  <c r="Q58" i="8" s="1"/>
  <c r="E18" i="16"/>
  <c r="GH53" i="8"/>
  <c r="E56" i="16"/>
  <c r="GN44" i="8"/>
  <c r="Q44" i="8" s="1"/>
  <c r="GH27" i="8"/>
  <c r="GN60" i="8"/>
  <c r="Q60" i="8" s="1"/>
  <c r="E20" i="16"/>
  <c r="GH28" i="8"/>
  <c r="GO28" i="8" s="1"/>
  <c r="E49" i="16"/>
  <c r="P32" i="16"/>
  <c r="P58" i="16"/>
  <c r="P36" i="16"/>
  <c r="E51" i="16"/>
  <c r="GH54" i="8"/>
  <c r="E35" i="16"/>
  <c r="GH29" i="8"/>
  <c r="F42" i="8"/>
  <c r="E59" i="16"/>
  <c r="F27" i="8"/>
  <c r="GN25" i="8"/>
  <c r="Q25" i="8" s="1"/>
  <c r="F40" i="8"/>
  <c r="GN38" i="8"/>
  <c r="Q38" i="8" s="1"/>
  <c r="GN21" i="8"/>
  <c r="Q21" i="8" s="1"/>
  <c r="E34" i="16"/>
  <c r="GN45" i="8"/>
  <c r="Q45" i="8" s="1"/>
  <c r="P19" i="16"/>
  <c r="E21" i="16"/>
  <c r="E19" i="16"/>
  <c r="F32" i="8"/>
  <c r="F56" i="8"/>
  <c r="F42" i="16"/>
  <c r="F61" i="8"/>
  <c r="F33" i="16"/>
  <c r="GH61" i="8"/>
  <c r="GN49" i="8"/>
  <c r="Q49" i="8" s="1"/>
  <c r="GN57" i="8"/>
  <c r="Q57" i="8" s="1"/>
  <c r="E29" i="16"/>
  <c r="F51" i="8"/>
  <c r="E44" i="16"/>
  <c r="GN32" i="8"/>
  <c r="Q32" i="8" s="1"/>
  <c r="E17" i="16"/>
  <c r="P35" i="16"/>
  <c r="F50" i="8"/>
  <c r="E58" i="16"/>
  <c r="GN50" i="8"/>
  <c r="Q50" i="8" s="1"/>
  <c r="GN51" i="8"/>
  <c r="Q51" i="8" s="1"/>
  <c r="E28" i="16"/>
  <c r="E47" i="16"/>
  <c r="GH24" i="8"/>
  <c r="GH37" i="8"/>
  <c r="P34" i="16"/>
  <c r="GH22" i="8"/>
  <c r="GO22" i="8" s="1"/>
  <c r="F26" i="8"/>
  <c r="E45" i="16"/>
  <c r="GN36" i="8"/>
  <c r="Q36" i="8" s="1"/>
  <c r="F18" i="8"/>
  <c r="F49" i="8"/>
  <c r="P29" i="16"/>
  <c r="GH36" i="8"/>
  <c r="GO36" i="8" s="1"/>
  <c r="F61" i="16"/>
  <c r="P57" i="16"/>
  <c r="GH33" i="8"/>
  <c r="E52" i="16"/>
  <c r="E57" i="16"/>
  <c r="GH46" i="8"/>
  <c r="GN34" i="8"/>
  <c r="Q34" i="8" s="1"/>
  <c r="GN52" i="8"/>
  <c r="Q52" i="8" s="1"/>
  <c r="F54" i="8"/>
  <c r="GN48" i="8"/>
  <c r="Q48" i="8" s="1"/>
  <c r="GH42" i="8"/>
  <c r="GO42" i="8" s="1"/>
  <c r="E40" i="16"/>
  <c r="F33" i="8"/>
  <c r="GN41" i="8"/>
  <c r="Q41" i="8" s="1"/>
  <c r="P25" i="16"/>
  <c r="GH26" i="8"/>
  <c r="GO26" i="8" s="1"/>
  <c r="P21" i="16"/>
  <c r="GN22" i="8"/>
  <c r="Q22" i="8" s="1"/>
  <c r="F20" i="8"/>
  <c r="GR18" i="8"/>
  <c r="F22" i="8"/>
  <c r="GN20" i="8"/>
  <c r="Q20" i="8" s="1"/>
  <c r="GH20" i="8"/>
  <c r="GO20" i="8" s="1"/>
  <c r="Q21" i="16"/>
  <c r="P17" i="16"/>
  <c r="GN18" i="8"/>
  <c r="Q18" i="8" s="1"/>
  <c r="P27" i="16"/>
  <c r="GN28" i="8"/>
  <c r="Q28" i="8" s="1"/>
  <c r="GH45" i="8"/>
  <c r="GN19" i="8"/>
  <c r="Q19" i="8" s="1"/>
  <c r="P18" i="16"/>
  <c r="F45" i="8"/>
  <c r="Q18" i="16"/>
  <c r="Q19" i="16"/>
  <c r="FZ62" i="8"/>
  <c r="FB62" i="8" s="1"/>
  <c r="P44" i="16"/>
  <c r="GH21" i="8"/>
  <c r="GO21" i="8" s="1"/>
  <c r="FZ43" i="8"/>
  <c r="FB43" i="8" s="1"/>
  <c r="F35" i="8"/>
  <c r="GH35" i="8"/>
  <c r="GN35" i="8"/>
  <c r="Q35" i="8" s="1"/>
  <c r="FZ59" i="8"/>
  <c r="FB59" i="8" s="1"/>
  <c r="FZ46" i="8"/>
  <c r="FD46" i="8" s="1"/>
  <c r="FZ53" i="8"/>
  <c r="FB53" i="8" s="1"/>
  <c r="FZ20" i="8"/>
  <c r="FB20" i="8" s="1"/>
  <c r="EZ20" i="8" s="1"/>
  <c r="H20" i="8" s="1"/>
  <c r="Q41" i="16"/>
  <c r="FZ57" i="8"/>
  <c r="FB57" i="8" s="1"/>
  <c r="FZ44" i="8"/>
  <c r="FB44" i="8" s="1"/>
  <c r="FZ54" i="8"/>
  <c r="FB54" i="8" s="1"/>
  <c r="P37" i="16"/>
  <c r="FZ42" i="8"/>
  <c r="FB42" i="8" s="1"/>
  <c r="P20" i="16"/>
  <c r="P41" i="16"/>
  <c r="FZ45" i="8"/>
  <c r="FD45" i="8" s="1"/>
  <c r="Q20" i="16"/>
  <c r="F21" i="8"/>
  <c r="GH38" i="8"/>
  <c r="F60" i="8"/>
  <c r="FF45" i="8"/>
  <c r="E39" i="16"/>
  <c r="E32" i="16"/>
  <c r="Q40" i="16"/>
  <c r="P59" i="16"/>
  <c r="P23" i="16"/>
  <c r="GH60" i="8"/>
  <c r="GO60" i="8" s="1"/>
  <c r="F48" i="8"/>
  <c r="P43" i="16"/>
  <c r="FF40" i="8"/>
  <c r="Q35" i="16"/>
  <c r="F41" i="8"/>
  <c r="GH41" i="8"/>
  <c r="GN42" i="8"/>
  <c r="Q42" i="8" s="1"/>
  <c r="P40" i="16"/>
  <c r="P47" i="16"/>
  <c r="E41" i="16"/>
  <c r="P24" i="16"/>
  <c r="Q31" i="16"/>
  <c r="GH25" i="8"/>
  <c r="Q47" i="16"/>
  <c r="GN62" i="8"/>
  <c r="Q62" i="8" s="1"/>
  <c r="P61" i="16"/>
  <c r="E43" i="16"/>
  <c r="GN24" i="8"/>
  <c r="Q24" i="8" s="1"/>
  <c r="GA43" i="8"/>
  <c r="FH43" i="8" s="1"/>
  <c r="FE43" i="8" s="1"/>
  <c r="FZ40" i="8"/>
  <c r="FB40" i="8" s="1"/>
  <c r="GN27" i="8"/>
  <c r="Q27" i="8" s="1"/>
  <c r="E26" i="16"/>
  <c r="P26" i="16"/>
  <c r="Q33" i="16"/>
  <c r="F29" i="8"/>
  <c r="Q32" i="16"/>
  <c r="GR24" i="8"/>
  <c r="GR56" i="8"/>
  <c r="P28" i="16"/>
  <c r="GN29" i="8"/>
  <c r="Q29" i="8" s="1"/>
  <c r="GH48" i="8"/>
  <c r="Q59" i="16"/>
  <c r="Q25" i="16"/>
  <c r="F36" i="8"/>
  <c r="Q28" i="16"/>
  <c r="GA46" i="8"/>
  <c r="FF46" i="8" s="1"/>
  <c r="P33" i="16"/>
  <c r="GH51" i="8"/>
  <c r="GH50" i="8"/>
  <c r="GO50" i="8" s="1"/>
  <c r="F30" i="8"/>
  <c r="E53" i="16"/>
  <c r="E50" i="16"/>
  <c r="GH44" i="8"/>
  <c r="GO44" i="8" s="1"/>
  <c r="Q53" i="16"/>
  <c r="P50" i="16"/>
  <c r="P53" i="16"/>
  <c r="GN54" i="8"/>
  <c r="Q54" i="8" s="1"/>
  <c r="GH34" i="8"/>
  <c r="GO34" i="8" s="1"/>
  <c r="Q36" i="16"/>
  <c r="GR51" i="8"/>
  <c r="GA54" i="8"/>
  <c r="FH54" i="8" s="1"/>
  <c r="FE54" i="8" s="1"/>
  <c r="P51" i="16"/>
  <c r="GH52" i="8"/>
  <c r="GO52" i="8" s="1"/>
  <c r="P52" i="16"/>
  <c r="FZ52" i="8"/>
  <c r="FD52" i="8" s="1"/>
  <c r="F52" i="8"/>
  <c r="Q42" i="16"/>
  <c r="E36" i="16"/>
  <c r="GH57" i="8"/>
  <c r="F53" i="8"/>
  <c r="GR52" i="8"/>
  <c r="P56" i="16"/>
  <c r="P48" i="16"/>
  <c r="P49" i="16"/>
  <c r="F57" i="8"/>
  <c r="FZ61" i="8"/>
  <c r="FB61" i="8" s="1"/>
  <c r="GH49" i="8"/>
  <c r="FZ58" i="8"/>
  <c r="FB58" i="8" s="1"/>
  <c r="GN53" i="8"/>
  <c r="Q53" i="8" s="1"/>
  <c r="E48" i="16"/>
  <c r="GN46" i="8"/>
  <c r="Q46" i="8" s="1"/>
  <c r="P45" i="16"/>
  <c r="FZ50" i="8"/>
  <c r="FD50" i="8" s="1"/>
  <c r="GA49" i="8"/>
  <c r="FH49" i="8" s="1"/>
  <c r="FG49" i="8" s="1"/>
  <c r="FF51" i="8"/>
  <c r="Q49" i="16"/>
  <c r="P60" i="16"/>
  <c r="GN56" i="8"/>
  <c r="Q56" i="8" s="1"/>
  <c r="GH56" i="8"/>
  <c r="P55" i="16"/>
  <c r="GH59" i="8"/>
  <c r="F58" i="8"/>
  <c r="GN61" i="8"/>
  <c r="Q61" i="8" s="1"/>
  <c r="GN59" i="8"/>
  <c r="Q59" i="8" s="1"/>
  <c r="F59" i="8"/>
  <c r="FH45" i="8"/>
  <c r="FG45" i="8" s="1"/>
  <c r="FH40" i="8"/>
  <c r="FG40" i="8" s="1"/>
  <c r="FF56" i="8"/>
  <c r="FB30" i="8"/>
  <c r="EZ30" i="8" s="1"/>
  <c r="H30" i="8" s="1"/>
  <c r="FH48" i="8"/>
  <c r="FE48" i="8" s="1"/>
  <c r="FH51" i="8"/>
  <c r="FE51" i="8" s="1"/>
  <c r="FB41" i="8"/>
  <c r="FD41" i="8"/>
  <c r="FD24" i="8"/>
  <c r="FB24" i="8"/>
  <c r="FB28" i="8"/>
  <c r="FD28" i="8"/>
  <c r="EZ28" i="8" s="1"/>
  <c r="FD56" i="8"/>
  <c r="FB56" i="8"/>
  <c r="FE56" i="8"/>
  <c r="FG56" i="8"/>
  <c r="FB29" i="8" l="1"/>
  <c r="HD30" i="8"/>
  <c r="FD48" i="8"/>
  <c r="FH44" i="8"/>
  <c r="GZ18" i="8"/>
  <c r="HC18" i="8" s="1"/>
  <c r="GE18" i="8"/>
  <c r="FB26" i="8"/>
  <c r="FD34" i="8"/>
  <c r="EZ34" i="8" s="1"/>
  <c r="H34" i="8" s="1"/>
  <c r="HD34" i="8" s="1"/>
  <c r="FH50" i="8"/>
  <c r="FF42" i="8"/>
  <c r="I18" i="8"/>
  <c r="I17" i="16" s="1"/>
  <c r="FF61" i="8"/>
  <c r="FB38" i="8"/>
  <c r="FB32" i="8"/>
  <c r="FG41" i="8"/>
  <c r="FB27" i="8"/>
  <c r="FD25" i="8"/>
  <c r="EZ25" i="8" s="1"/>
  <c r="H25" i="8" s="1"/>
  <c r="FB35" i="8"/>
  <c r="FB37" i="8"/>
  <c r="FD36" i="8"/>
  <c r="EZ36" i="8" s="1"/>
  <c r="H36" i="8" s="1"/>
  <c r="HD36" i="8" s="1"/>
  <c r="FF41" i="8"/>
  <c r="IB18" i="8"/>
  <c r="HH18" i="8"/>
  <c r="HH21" i="8"/>
  <c r="FB33" i="8"/>
  <c r="H17" i="16"/>
  <c r="FF52" i="8"/>
  <c r="HV20" i="8"/>
  <c r="HR19" i="8"/>
  <c r="HL19" i="8"/>
  <c r="HG19" i="8" s="1"/>
  <c r="HU21" i="8"/>
  <c r="HT21" i="8"/>
  <c r="HL28" i="8"/>
  <c r="HG28" i="8" s="1"/>
  <c r="HL29" i="8"/>
  <c r="HG29" i="8" s="1"/>
  <c r="IB21" i="8"/>
  <c r="HL33" i="8"/>
  <c r="HG33" i="8" s="1"/>
  <c r="HL34" i="8"/>
  <c r="HG34" i="8" s="1"/>
  <c r="I19" i="8"/>
  <c r="J19" i="8" s="1"/>
  <c r="J18" i="16" s="1"/>
  <c r="HR22" i="8"/>
  <c r="HT22" i="8" s="1"/>
  <c r="HL22" i="8"/>
  <c r="HG22" i="8" s="1"/>
  <c r="GE19" i="8"/>
  <c r="HL36" i="8"/>
  <c r="HG36" i="8" s="1"/>
  <c r="HL37" i="8"/>
  <c r="HG37" i="8" s="1"/>
  <c r="GZ19" i="8"/>
  <c r="HC19" i="8" s="1"/>
  <c r="HL25" i="8"/>
  <c r="HG25" i="8" s="1"/>
  <c r="HL26" i="8"/>
  <c r="HG26" i="8" s="1"/>
  <c r="GO51" i="8"/>
  <c r="GO45" i="8"/>
  <c r="GO62" i="8"/>
  <c r="GO40" i="8"/>
  <c r="GO56" i="8"/>
  <c r="GO49" i="8"/>
  <c r="GO38" i="8"/>
  <c r="GO41" i="8"/>
  <c r="GO35" i="8"/>
  <c r="GO32" i="8"/>
  <c r="GO27" i="8"/>
  <c r="GO30" i="8"/>
  <c r="GO46" i="8"/>
  <c r="GO61" i="8"/>
  <c r="GO53" i="8"/>
  <c r="GO37" i="8"/>
  <c r="GO48" i="8"/>
  <c r="GO24" i="8"/>
  <c r="GO29" i="8"/>
  <c r="GO59" i="8"/>
  <c r="GO57" i="8"/>
  <c r="GO33" i="8"/>
  <c r="GO25" i="8"/>
  <c r="GO54" i="8"/>
  <c r="GO43" i="8"/>
  <c r="GZ22" i="8"/>
  <c r="HC22" i="8" s="1"/>
  <c r="GE22" i="8"/>
  <c r="I22" i="8"/>
  <c r="I21" i="16" s="1"/>
  <c r="P70" i="8"/>
  <c r="P68" i="8"/>
  <c r="P69" i="8"/>
  <c r="FB60" i="8"/>
  <c r="FD61" i="8"/>
  <c r="FH60" i="8"/>
  <c r="FD40" i="8"/>
  <c r="EZ40" i="8" s="1"/>
  <c r="H40" i="8" s="1"/>
  <c r="HD40" i="8" s="1"/>
  <c r="H20" i="16"/>
  <c r="I20" i="8"/>
  <c r="F56" i="16"/>
  <c r="F29" i="16"/>
  <c r="F20" i="16"/>
  <c r="F28" i="16"/>
  <c r="F19" i="16"/>
  <c r="F31" i="16"/>
  <c r="F26" i="16"/>
  <c r="F35" i="16"/>
  <c r="F40" i="16"/>
  <c r="F47" i="16"/>
  <c r="F59" i="16"/>
  <c r="F53" i="16"/>
  <c r="F48" i="16"/>
  <c r="F25" i="16"/>
  <c r="F49" i="16"/>
  <c r="F44" i="16"/>
  <c r="F32" i="16"/>
  <c r="F39" i="16"/>
  <c r="F41" i="16"/>
  <c r="F43" i="16"/>
  <c r="F58" i="16"/>
  <c r="F57" i="16"/>
  <c r="F52" i="16"/>
  <c r="F51" i="16"/>
  <c r="F34" i="16"/>
  <c r="F21" i="16"/>
  <c r="F17" i="16"/>
  <c r="F50" i="16"/>
  <c r="F60" i="16"/>
  <c r="F55" i="16"/>
  <c r="F36" i="16"/>
  <c r="FB45" i="8"/>
  <c r="EZ45" i="8" s="1"/>
  <c r="H45" i="8" s="1"/>
  <c r="HD45" i="8" s="1"/>
  <c r="FD49" i="8"/>
  <c r="EZ49" i="8" s="1"/>
  <c r="H49" i="8" s="1"/>
  <c r="HD49" i="8" s="1"/>
  <c r="FB51" i="8"/>
  <c r="FD62" i="8"/>
  <c r="FD43" i="8"/>
  <c r="EZ43" i="8" s="1"/>
  <c r="H43" i="8" s="1"/>
  <c r="HD43" i="8" s="1"/>
  <c r="I21" i="8"/>
  <c r="FD53" i="8"/>
  <c r="EZ53" i="8" s="1"/>
  <c r="H28" i="8"/>
  <c r="EZ27" i="8"/>
  <c r="H27" i="8" s="1"/>
  <c r="FB46" i="8"/>
  <c r="EZ32" i="8"/>
  <c r="H32" i="8" s="1"/>
  <c r="HD32" i="8" s="1"/>
  <c r="GZ20" i="8"/>
  <c r="HC20" i="8" s="1"/>
  <c r="H19" i="16"/>
  <c r="GE20" i="8"/>
  <c r="FB52" i="8"/>
  <c r="FG54" i="8"/>
  <c r="FD54" i="8"/>
  <c r="EZ54" i="8" s="1"/>
  <c r="H54" i="8" s="1"/>
  <c r="FF54" i="8"/>
  <c r="FF58" i="8"/>
  <c r="GE21" i="8"/>
  <c r="GZ21" i="8"/>
  <c r="HC21" i="8" s="1"/>
  <c r="FF57" i="8"/>
  <c r="FD59" i="8"/>
  <c r="EZ59" i="8" s="1"/>
  <c r="H59" i="8" s="1"/>
  <c r="HD59" i="8" s="1"/>
  <c r="FF43" i="8"/>
  <c r="FD58" i="8"/>
  <c r="FH46" i="8"/>
  <c r="FG46" i="8" s="1"/>
  <c r="FF53" i="8"/>
  <c r="FB50" i="8"/>
  <c r="FD44" i="8"/>
  <c r="FD42" i="8"/>
  <c r="EZ42" i="8" s="1"/>
  <c r="H42" i="8" s="1"/>
  <c r="HD42" i="8" s="1"/>
  <c r="FD57" i="8"/>
  <c r="EZ57" i="8" s="1"/>
  <c r="H57" i="8" s="1"/>
  <c r="HD57" i="8" s="1"/>
  <c r="FH62" i="8"/>
  <c r="FG62" i="8" s="1"/>
  <c r="FH59" i="8"/>
  <c r="FG59" i="8" s="1"/>
  <c r="FG58" i="8" s="1"/>
  <c r="FE53" i="8"/>
  <c r="FE52" i="8" s="1"/>
  <c r="FG43" i="8"/>
  <c r="FG44" i="8" s="1"/>
  <c r="FE57" i="8"/>
  <c r="FG61" i="8"/>
  <c r="FF49" i="8"/>
  <c r="FE49" i="8"/>
  <c r="FE50" i="8" s="1"/>
  <c r="EZ24" i="8"/>
  <c r="H24" i="8" s="1"/>
  <c r="HD24" i="8" s="1"/>
  <c r="EZ41" i="8"/>
  <c r="H41" i="8" s="1"/>
  <c r="HD41" i="8" s="1"/>
  <c r="EZ29" i="8"/>
  <c r="H29" i="8" s="1"/>
  <c r="GE30" i="8"/>
  <c r="GZ30" i="8"/>
  <c r="HC30" i="8" s="1"/>
  <c r="H29" i="16"/>
  <c r="EZ38" i="8"/>
  <c r="H38" i="8" s="1"/>
  <c r="HD38" i="8" s="1"/>
  <c r="EZ56" i="8"/>
  <c r="H56" i="8" s="1"/>
  <c r="HD56" i="8" s="1"/>
  <c r="EZ33" i="8"/>
  <c r="H33" i="8" s="1"/>
  <c r="HD33" i="8" s="1"/>
  <c r="EZ37" i="8"/>
  <c r="H37" i="8" s="1"/>
  <c r="HD37" i="8" s="1"/>
  <c r="EZ35" i="8"/>
  <c r="H35" i="8" s="1"/>
  <c r="HD35" i="8" s="1"/>
  <c r="H26" i="8"/>
  <c r="FE45" i="8"/>
  <c r="FE44" i="8" s="1"/>
  <c r="FG48" i="8"/>
  <c r="EZ48" i="8" s="1"/>
  <c r="H48" i="8" s="1"/>
  <c r="HD48" i="8" s="1"/>
  <c r="FE40" i="8"/>
  <c r="FG51" i="8"/>
  <c r="FG52" i="8" s="1"/>
  <c r="FE42" i="8"/>
  <c r="GW19" i="8" l="1"/>
  <c r="GT19" i="8" s="1"/>
  <c r="T19" i="8" s="1"/>
  <c r="GW18" i="8"/>
  <c r="GT18" i="8" s="1"/>
  <c r="T18" i="8" s="1"/>
  <c r="GU18" i="8" s="1"/>
  <c r="GX18" i="8" s="1"/>
  <c r="HA18" i="8" s="1"/>
  <c r="S18" i="8" s="1"/>
  <c r="R17" i="16" s="1"/>
  <c r="HD29" i="8"/>
  <c r="HD27" i="8"/>
  <c r="J18" i="8"/>
  <c r="J17" i="16" s="1"/>
  <c r="HD26" i="8"/>
  <c r="HD25" i="8"/>
  <c r="HD28" i="8"/>
  <c r="HV21" i="8"/>
  <c r="GW22" i="8"/>
  <c r="GT22" i="8" s="1"/>
  <c r="T22" i="8" s="1"/>
  <c r="S21" i="16" s="1"/>
  <c r="HD54" i="8"/>
  <c r="GE34" i="8"/>
  <c r="GZ34" i="8"/>
  <c r="HC34" i="8" s="1"/>
  <c r="HU22" i="8"/>
  <c r="HV22" i="8" s="1"/>
  <c r="HO22" i="8"/>
  <c r="IB22" i="8" s="1"/>
  <c r="I18" i="16"/>
  <c r="HT19" i="8"/>
  <c r="HO19" i="8"/>
  <c r="IB19" i="8" s="1"/>
  <c r="HR41" i="8"/>
  <c r="HT41" i="8" s="1"/>
  <c r="HO41" i="8"/>
  <c r="HR25" i="8"/>
  <c r="HO25" i="8"/>
  <c r="HO53" i="8"/>
  <c r="HR38" i="8"/>
  <c r="HU38" i="8" s="1"/>
  <c r="HO38" i="8"/>
  <c r="HR33" i="8"/>
  <c r="HO33" i="8"/>
  <c r="HO61" i="8"/>
  <c r="HR49" i="8"/>
  <c r="HO49" i="8"/>
  <c r="HR57" i="8"/>
  <c r="HT57" i="8" s="1"/>
  <c r="HO57" i="8"/>
  <c r="HR46" i="8"/>
  <c r="HU46" i="8" s="1"/>
  <c r="HO46" i="8"/>
  <c r="HR56" i="8"/>
  <c r="HT56" i="8" s="1"/>
  <c r="HO56" i="8"/>
  <c r="HR59" i="8"/>
  <c r="HT59" i="8" s="1"/>
  <c r="HO59" i="8"/>
  <c r="HR30" i="8"/>
  <c r="HU30" i="8" s="1"/>
  <c r="HO30" i="8"/>
  <c r="HR40" i="8"/>
  <c r="HO40" i="8"/>
  <c r="HR54" i="8"/>
  <c r="HU54" i="8" s="1"/>
  <c r="HO54" i="8"/>
  <c r="HO29" i="8"/>
  <c r="HO27" i="8"/>
  <c r="HR27" i="8"/>
  <c r="HU27" i="8" s="1"/>
  <c r="HR62" i="8"/>
  <c r="HU62" i="8" s="1"/>
  <c r="HO62" i="8"/>
  <c r="HO37" i="8"/>
  <c r="HR24" i="8"/>
  <c r="HR32" i="8"/>
  <c r="HT32" i="8" s="1"/>
  <c r="HO32" i="8"/>
  <c r="HO45" i="8"/>
  <c r="J22" i="8"/>
  <c r="J21" i="16" s="1"/>
  <c r="HR43" i="8"/>
  <c r="HO43" i="8"/>
  <c r="HR48" i="8"/>
  <c r="HO48" i="8"/>
  <c r="HR35" i="8"/>
  <c r="HO35" i="8"/>
  <c r="HR51" i="8"/>
  <c r="HT51" i="8" s="1"/>
  <c r="HO51" i="8"/>
  <c r="EZ58" i="8"/>
  <c r="H58" i="8" s="1"/>
  <c r="EZ62" i="8"/>
  <c r="H62" i="8" s="1"/>
  <c r="H53" i="8"/>
  <c r="HD53" i="8" s="1"/>
  <c r="EZ44" i="8"/>
  <c r="H44" i="8" s="1"/>
  <c r="GE45" i="8"/>
  <c r="GE35" i="8"/>
  <c r="H39" i="16"/>
  <c r="GZ37" i="8"/>
  <c r="HC37" i="8" s="1"/>
  <c r="H23" i="16"/>
  <c r="GU19" i="8"/>
  <c r="GX19" i="8" s="1"/>
  <c r="HA19" i="8" s="1"/>
  <c r="S19" i="8" s="1"/>
  <c r="GE36" i="8"/>
  <c r="H40" i="16"/>
  <c r="H48" i="16"/>
  <c r="GZ27" i="8"/>
  <c r="HC27" i="8" s="1"/>
  <c r="J20" i="8"/>
  <c r="H47" i="16"/>
  <c r="H32" i="16"/>
  <c r="GE56" i="8"/>
  <c r="GZ29" i="8"/>
  <c r="HC29" i="8" s="1"/>
  <c r="I19" i="16"/>
  <c r="GE57" i="8"/>
  <c r="GE54" i="8"/>
  <c r="GZ38" i="8"/>
  <c r="HC38" i="8" s="1"/>
  <c r="GE59" i="8"/>
  <c r="GZ32" i="8"/>
  <c r="HC32" i="8" s="1"/>
  <c r="I20" i="16"/>
  <c r="GE28" i="8"/>
  <c r="GZ36" i="8"/>
  <c r="HC36" i="8" s="1"/>
  <c r="J21" i="8"/>
  <c r="FE62" i="8"/>
  <c r="GW20" i="8"/>
  <c r="GT20" i="8" s="1"/>
  <c r="T20" i="8" s="1"/>
  <c r="GE27" i="8"/>
  <c r="GE32" i="8"/>
  <c r="H31" i="16"/>
  <c r="GZ28" i="8"/>
  <c r="HC28" i="8" s="1"/>
  <c r="EZ52" i="8"/>
  <c r="H52" i="8" s="1"/>
  <c r="HD52" i="8" s="1"/>
  <c r="FE59" i="8"/>
  <c r="FE60" i="8" s="1"/>
  <c r="FG42" i="8"/>
  <c r="GW21" i="8"/>
  <c r="GT21" i="8" s="1"/>
  <c r="T21" i="8" s="1"/>
  <c r="EZ46" i="8"/>
  <c r="H46" i="8" s="1"/>
  <c r="HD46" i="8" s="1"/>
  <c r="GZ59" i="8"/>
  <c r="HC59" i="8" s="1"/>
  <c r="FE46" i="8"/>
  <c r="GZ40" i="8"/>
  <c r="HC40" i="8" s="1"/>
  <c r="GE40" i="8"/>
  <c r="FG60" i="8"/>
  <c r="EZ60" i="8" s="1"/>
  <c r="H60" i="8" s="1"/>
  <c r="HD60" i="8" s="1"/>
  <c r="EZ61" i="8"/>
  <c r="H61" i="8" s="1"/>
  <c r="HD61" i="8" s="1"/>
  <c r="EZ51" i="8"/>
  <c r="H51" i="8" s="1"/>
  <c r="HD51" i="8" s="1"/>
  <c r="GW30" i="8"/>
  <c r="GT30" i="8" s="1"/>
  <c r="T30" i="8" s="1"/>
  <c r="GZ49" i="8"/>
  <c r="HC49" i="8" s="1"/>
  <c r="GZ43" i="8"/>
  <c r="HC43" i="8" s="1"/>
  <c r="GZ33" i="8"/>
  <c r="HC33" i="8" s="1"/>
  <c r="S18" i="16"/>
  <c r="GE42" i="8"/>
  <c r="H56" i="16"/>
  <c r="GZ54" i="8"/>
  <c r="HC54" i="8" s="1"/>
  <c r="GZ24" i="8"/>
  <c r="HC24" i="8" s="1"/>
  <c r="GE41" i="8"/>
  <c r="GE33" i="8"/>
  <c r="GE49" i="8"/>
  <c r="GE43" i="8"/>
  <c r="GZ42" i="8"/>
  <c r="HC42" i="8" s="1"/>
  <c r="H24" i="16"/>
  <c r="GE24" i="8"/>
  <c r="GZ48" i="8"/>
  <c r="HC48" i="8" s="1"/>
  <c r="GE25" i="8"/>
  <c r="GE29" i="8"/>
  <c r="GZ25" i="8"/>
  <c r="HC25" i="8" s="1"/>
  <c r="GE37" i="8"/>
  <c r="GZ41" i="8"/>
  <c r="HC41" i="8" s="1"/>
  <c r="H55" i="16"/>
  <c r="GZ45" i="8"/>
  <c r="HC45" i="8" s="1"/>
  <c r="H37" i="16"/>
  <c r="GZ26" i="8"/>
  <c r="HC26" i="8" s="1"/>
  <c r="GE26" i="8"/>
  <c r="GZ57" i="8"/>
  <c r="HC57" i="8" s="1"/>
  <c r="H53" i="16"/>
  <c r="GZ35" i="8"/>
  <c r="HC35" i="8" s="1"/>
  <c r="GE38" i="8"/>
  <c r="GZ56" i="8"/>
  <c r="HC56" i="8" s="1"/>
  <c r="GE48" i="8"/>
  <c r="FG50" i="8"/>
  <c r="EZ50" i="8" s="1"/>
  <c r="H50" i="8" s="1"/>
  <c r="HD50" i="8" s="1"/>
  <c r="S17" i="16" l="1"/>
  <c r="GU22" i="8"/>
  <c r="GX22" i="8" s="1"/>
  <c r="HA22" i="8" s="1"/>
  <c r="S22" i="8" s="1"/>
  <c r="R21" i="16" s="1"/>
  <c r="GW34" i="8"/>
  <c r="GT34" i="8" s="1"/>
  <c r="T34" i="8" s="1"/>
  <c r="GU34" i="8" s="1"/>
  <c r="GX34" i="8" s="1"/>
  <c r="HA34" i="8" s="1"/>
  <c r="S34" i="8" s="1"/>
  <c r="GZ44" i="8"/>
  <c r="HC44" i="8" s="1"/>
  <c r="HD44" i="8"/>
  <c r="GZ62" i="8"/>
  <c r="HC62" i="8" s="1"/>
  <c r="HD62" i="8"/>
  <c r="GZ58" i="8"/>
  <c r="HC58" i="8" s="1"/>
  <c r="HD58" i="8"/>
  <c r="HH22" i="8"/>
  <c r="HH19" i="8"/>
  <c r="HU32" i="8"/>
  <c r="HV32" i="8" s="1"/>
  <c r="IB32" i="8" s="1"/>
  <c r="HH32" i="8" s="1"/>
  <c r="HI32" i="8" s="1"/>
  <c r="HJ32" i="8" s="1"/>
  <c r="HK32" i="8" s="1"/>
  <c r="I32" i="8" s="1"/>
  <c r="J32" i="8" s="1"/>
  <c r="HU59" i="8"/>
  <c r="HV59" i="8" s="1"/>
  <c r="IC59" i="8" s="1"/>
  <c r="HU56" i="8"/>
  <c r="HV56" i="8" s="1"/>
  <c r="IC56" i="8" s="1"/>
  <c r="HU51" i="8"/>
  <c r="HV51" i="8" s="1"/>
  <c r="IC51" i="8" s="1"/>
  <c r="HU57" i="8"/>
  <c r="HV57" i="8" s="1"/>
  <c r="IC57" i="8" s="1"/>
  <c r="HU41" i="8"/>
  <c r="HV41" i="8" s="1"/>
  <c r="IC41" i="8" s="1"/>
  <c r="GE58" i="8"/>
  <c r="HU19" i="8"/>
  <c r="HV19" i="8" s="1"/>
  <c r="HU49" i="8"/>
  <c r="HT49" i="8"/>
  <c r="HR34" i="8"/>
  <c r="HT34" i="8" s="1"/>
  <c r="HO34" i="8"/>
  <c r="HR29" i="8"/>
  <c r="HT30" i="8"/>
  <c r="HV30" i="8" s="1"/>
  <c r="IB30" i="8" s="1"/>
  <c r="HH30" i="8" s="1"/>
  <c r="HI30" i="8" s="1"/>
  <c r="HJ30" i="8" s="1"/>
  <c r="HK30" i="8" s="1"/>
  <c r="I30" i="8" s="1"/>
  <c r="HR60" i="8"/>
  <c r="HT60" i="8" s="1"/>
  <c r="HO60" i="8"/>
  <c r="HT35" i="8"/>
  <c r="HU48" i="8"/>
  <c r="HT48" i="8"/>
  <c r="HR61" i="8"/>
  <c r="HT62" i="8"/>
  <c r="HV62" i="8" s="1"/>
  <c r="IC62" i="8" s="1"/>
  <c r="HR42" i="8"/>
  <c r="HU42" i="8" s="1"/>
  <c r="HO42" i="8"/>
  <c r="HT27" i="8"/>
  <c r="HV27" i="8" s="1"/>
  <c r="IB27" i="8" s="1"/>
  <c r="HH27" i="8" s="1"/>
  <c r="HI27" i="8" s="1"/>
  <c r="HJ27" i="8" s="1"/>
  <c r="HK27" i="8" s="1"/>
  <c r="I27" i="8" s="1"/>
  <c r="HR26" i="8"/>
  <c r="HT26" i="8" s="1"/>
  <c r="HU33" i="8"/>
  <c r="HT33" i="8"/>
  <c r="HR37" i="8"/>
  <c r="HT38" i="8"/>
  <c r="HV38" i="8" s="1"/>
  <c r="IB38" i="8" s="1"/>
  <c r="HH38" i="8" s="1"/>
  <c r="HI38" i="8" s="1"/>
  <c r="HJ38" i="8" s="1"/>
  <c r="HK38" i="8" s="1"/>
  <c r="I38" i="8" s="1"/>
  <c r="J38" i="8" s="1"/>
  <c r="HU43" i="8"/>
  <c r="HT43" i="8"/>
  <c r="HR44" i="8"/>
  <c r="HT44" i="8" s="1"/>
  <c r="HO44" i="8"/>
  <c r="HR28" i="8"/>
  <c r="HT28" i="8" s="1"/>
  <c r="HO28" i="8"/>
  <c r="HR52" i="8"/>
  <c r="HU52" i="8" s="1"/>
  <c r="HO52" i="8"/>
  <c r="HO36" i="8"/>
  <c r="HR36" i="8"/>
  <c r="HU36" i="8" s="1"/>
  <c r="HR58" i="8"/>
  <c r="HO58" i="8"/>
  <c r="HR45" i="8"/>
  <c r="HT46" i="8"/>
  <c r="HV46" i="8" s="1"/>
  <c r="IC46" i="8" s="1"/>
  <c r="HR53" i="8"/>
  <c r="HT54" i="8"/>
  <c r="HV54" i="8" s="1"/>
  <c r="IC54" i="8" s="1"/>
  <c r="HU25" i="8"/>
  <c r="HT25" i="8"/>
  <c r="HU24" i="8"/>
  <c r="HT24" i="8"/>
  <c r="HU40" i="8"/>
  <c r="HT40" i="8"/>
  <c r="HR50" i="8"/>
  <c r="HT50" i="8" s="1"/>
  <c r="HO50" i="8"/>
  <c r="HU35" i="8"/>
  <c r="GE62" i="8"/>
  <c r="H61" i="16"/>
  <c r="GZ53" i="8"/>
  <c r="HC53" i="8" s="1"/>
  <c r="GE53" i="8"/>
  <c r="GW27" i="8"/>
  <c r="GT27" i="8" s="1"/>
  <c r="T27" i="8" s="1"/>
  <c r="S26" i="16" s="1"/>
  <c r="GE44" i="8"/>
  <c r="GW32" i="8"/>
  <c r="GT32" i="8" s="1"/>
  <c r="T32" i="8" s="1"/>
  <c r="S31" i="16" s="1"/>
  <c r="GW38" i="8"/>
  <c r="GT38" i="8" s="1"/>
  <c r="T38" i="8" s="1"/>
  <c r="GU38" i="8" s="1"/>
  <c r="GX38" i="8" s="1"/>
  <c r="HA38" i="8" s="1"/>
  <c r="S38" i="8" s="1"/>
  <c r="GW29" i="8"/>
  <c r="GT29" i="8" s="1"/>
  <c r="T29" i="8" s="1"/>
  <c r="GU29" i="8" s="1"/>
  <c r="GX29" i="8" s="1"/>
  <c r="HA29" i="8" s="1"/>
  <c r="S29" i="8" s="1"/>
  <c r="GW36" i="8"/>
  <c r="GT36" i="8" s="1"/>
  <c r="T36" i="8" s="1"/>
  <c r="S35" i="16" s="1"/>
  <c r="GW37" i="8"/>
  <c r="GT37" i="8" s="1"/>
  <c r="T37" i="8" s="1"/>
  <c r="GU37" i="8" s="1"/>
  <c r="GX37" i="8" s="1"/>
  <c r="HA37" i="8" s="1"/>
  <c r="S37" i="8" s="1"/>
  <c r="GU21" i="8"/>
  <c r="GX21" i="8" s="1"/>
  <c r="HA21" i="8" s="1"/>
  <c r="S21" i="8" s="1"/>
  <c r="GU30" i="8"/>
  <c r="GX30" i="8" s="1"/>
  <c r="HA30" i="8" s="1"/>
  <c r="S30" i="8" s="1"/>
  <c r="J20" i="16"/>
  <c r="GZ50" i="8"/>
  <c r="HC50" i="8" s="1"/>
  <c r="GE51" i="8"/>
  <c r="GZ60" i="8"/>
  <c r="HC60" i="8" s="1"/>
  <c r="H45" i="16"/>
  <c r="GU20" i="8"/>
  <c r="GX20" i="8" s="1"/>
  <c r="HA20" i="8" s="1"/>
  <c r="S20" i="8" s="1"/>
  <c r="J19" i="16"/>
  <c r="R18" i="16"/>
  <c r="S19" i="16"/>
  <c r="GW59" i="8"/>
  <c r="GT59" i="8" s="1"/>
  <c r="T59" i="8" s="1"/>
  <c r="GW28" i="8"/>
  <c r="GT28" i="8" s="1"/>
  <c r="T28" i="8" s="1"/>
  <c r="FE58" i="8"/>
  <c r="S20" i="16"/>
  <c r="GE52" i="8"/>
  <c r="GZ52" i="8"/>
  <c r="HC52" i="8" s="1"/>
  <c r="GZ51" i="8"/>
  <c r="HC51" i="8" s="1"/>
  <c r="GW40" i="8"/>
  <c r="GT40" i="8" s="1"/>
  <c r="T40" i="8" s="1"/>
  <c r="GZ46" i="8"/>
  <c r="HC46" i="8" s="1"/>
  <c r="GE46" i="8"/>
  <c r="GZ61" i="8"/>
  <c r="HC61" i="8" s="1"/>
  <c r="S29" i="16"/>
  <c r="GW45" i="8"/>
  <c r="GT45" i="8" s="1"/>
  <c r="T45" i="8" s="1"/>
  <c r="GE50" i="8"/>
  <c r="GE60" i="8"/>
  <c r="GE61" i="8"/>
  <c r="GW42" i="8"/>
  <c r="GT42" i="8" s="1"/>
  <c r="T42" i="8" s="1"/>
  <c r="GW43" i="8"/>
  <c r="GT43" i="8" s="1"/>
  <c r="T43" i="8" s="1"/>
  <c r="GW49" i="8"/>
  <c r="GT49" i="8" s="1"/>
  <c r="T49" i="8" s="1"/>
  <c r="GW54" i="8"/>
  <c r="GT54" i="8" s="1"/>
  <c r="T54" i="8" s="1"/>
  <c r="GW25" i="8"/>
  <c r="GT25" i="8" s="1"/>
  <c r="T25" i="8" s="1"/>
  <c r="GW33" i="8"/>
  <c r="GT33" i="8" s="1"/>
  <c r="T33" i="8" s="1"/>
  <c r="GW26" i="8"/>
  <c r="GT26" i="8" s="1"/>
  <c r="T26" i="8" s="1"/>
  <c r="GW24" i="8"/>
  <c r="GT24" i="8" s="1"/>
  <c r="T24" i="8" s="1"/>
  <c r="GW41" i="8"/>
  <c r="GT41" i="8" s="1"/>
  <c r="T41" i="8" s="1"/>
  <c r="GW48" i="8"/>
  <c r="GT48" i="8" s="1"/>
  <c r="T48" i="8" s="1"/>
  <c r="GW56" i="8"/>
  <c r="GT56" i="8" s="1"/>
  <c r="T56" i="8" s="1"/>
  <c r="GW35" i="8"/>
  <c r="GT35" i="8" s="1"/>
  <c r="T35" i="8" s="1"/>
  <c r="GW57" i="8"/>
  <c r="GT57" i="8" s="1"/>
  <c r="T57" i="8" s="1"/>
  <c r="GW62" i="8" l="1"/>
  <c r="GT62" i="8" s="1"/>
  <c r="T62" i="8" s="1"/>
  <c r="GU62" i="8" s="1"/>
  <c r="GX62" i="8" s="1"/>
  <c r="HA62" i="8" s="1"/>
  <c r="S62" i="8" s="1"/>
  <c r="S33" i="16"/>
  <c r="I31" i="16"/>
  <c r="GW58" i="8"/>
  <c r="GT58" i="8" s="1"/>
  <c r="T58" i="8" s="1"/>
  <c r="I37" i="16"/>
  <c r="J30" i="8"/>
  <c r="J29" i="16" s="1"/>
  <c r="I29" i="16"/>
  <c r="H26" i="16"/>
  <c r="GW44" i="8"/>
  <c r="GT44" i="8" s="1"/>
  <c r="T44" i="8" s="1"/>
  <c r="GU44" i="8" s="1"/>
  <c r="GX44" i="8" s="1"/>
  <c r="HA44" i="8" s="1"/>
  <c r="S44" i="8" s="1"/>
  <c r="HV49" i="8"/>
  <c r="IC49" i="8" s="1"/>
  <c r="IB59" i="8"/>
  <c r="HH59" i="8" s="1"/>
  <c r="HI59" i="8" s="1"/>
  <c r="HJ59" i="8" s="1"/>
  <c r="HK59" i="8" s="1"/>
  <c r="HV25" i="8"/>
  <c r="IB25" i="8" s="1"/>
  <c r="HH25" i="8" s="1"/>
  <c r="HI25" i="8" s="1"/>
  <c r="HJ25" i="8" s="1"/>
  <c r="HK25" i="8" s="1"/>
  <c r="I25" i="8" s="1"/>
  <c r="HU44" i="8"/>
  <c r="HU50" i="8"/>
  <c r="HV50" i="8" s="1"/>
  <c r="IC50" i="8" s="1"/>
  <c r="HU28" i="8"/>
  <c r="HV28" i="8" s="1"/>
  <c r="IB28" i="8" s="1"/>
  <c r="HH28" i="8" s="1"/>
  <c r="HI28" i="8" s="1"/>
  <c r="HJ28" i="8" s="1"/>
  <c r="HK28" i="8" s="1"/>
  <c r="I28" i="8" s="1"/>
  <c r="HV24" i="8"/>
  <c r="IB24" i="8" s="1"/>
  <c r="HH24" i="8" s="1"/>
  <c r="HI24" i="8" s="1"/>
  <c r="HJ24" i="8" s="1"/>
  <c r="HK24" i="8" s="1"/>
  <c r="I24" i="8" s="1"/>
  <c r="IB41" i="8"/>
  <c r="HH41" i="8" s="1"/>
  <c r="HI41" i="8" s="1"/>
  <c r="HJ41" i="8" s="1"/>
  <c r="HK41" i="8" s="1"/>
  <c r="I41" i="8" s="1"/>
  <c r="HV33" i="8"/>
  <c r="IB33" i="8" s="1"/>
  <c r="HH33" i="8" s="1"/>
  <c r="HI33" i="8" s="1"/>
  <c r="HJ33" i="8" s="1"/>
  <c r="HK33" i="8" s="1"/>
  <c r="I33" i="8" s="1"/>
  <c r="HV44" i="8"/>
  <c r="IC44" i="8" s="1"/>
  <c r="IB54" i="8"/>
  <c r="HH54" i="8" s="1"/>
  <c r="HI54" i="8" s="1"/>
  <c r="HJ54" i="8" s="1"/>
  <c r="HK54" i="8" s="1"/>
  <c r="I54" i="8" s="1"/>
  <c r="IB51" i="8"/>
  <c r="HH51" i="8" s="1"/>
  <c r="HI51" i="8" s="1"/>
  <c r="HJ51" i="8" s="1"/>
  <c r="HK51" i="8" s="1"/>
  <c r="IB56" i="8"/>
  <c r="HH56" i="8" s="1"/>
  <c r="HI56" i="8" s="1"/>
  <c r="HJ56" i="8" s="1"/>
  <c r="HK56" i="8" s="1"/>
  <c r="I56" i="8" s="1"/>
  <c r="HV40" i="8"/>
  <c r="HV43" i="8"/>
  <c r="HV35" i="8"/>
  <c r="IB35" i="8" s="1"/>
  <c r="HH35" i="8" s="1"/>
  <c r="HI35" i="8" s="1"/>
  <c r="HJ35" i="8" s="1"/>
  <c r="HK35" i="8" s="1"/>
  <c r="IB57" i="8"/>
  <c r="HH57" i="8" s="1"/>
  <c r="HI57" i="8" s="1"/>
  <c r="HJ57" i="8" s="1"/>
  <c r="HK57" i="8" s="1"/>
  <c r="I57" i="8" s="1"/>
  <c r="IB62" i="8"/>
  <c r="HH62" i="8" s="1"/>
  <c r="HI62" i="8" s="1"/>
  <c r="HJ62" i="8" s="1"/>
  <c r="HK62" i="8" s="1"/>
  <c r="I62" i="8" s="1"/>
  <c r="I61" i="16" s="1"/>
  <c r="IB46" i="8"/>
  <c r="HH46" i="8" s="1"/>
  <c r="HI46" i="8" s="1"/>
  <c r="HJ46" i="8" s="1"/>
  <c r="HK46" i="8" s="1"/>
  <c r="I46" i="8" s="1"/>
  <c r="I45" i="16" s="1"/>
  <c r="HT52" i="8"/>
  <c r="HV52" i="8" s="1"/>
  <c r="IC52" i="8" s="1"/>
  <c r="HU26" i="8"/>
  <c r="HV26" i="8" s="1"/>
  <c r="IB26" i="8" s="1"/>
  <c r="HH26" i="8" s="1"/>
  <c r="HI26" i="8" s="1"/>
  <c r="HU60" i="8"/>
  <c r="HV60" i="8" s="1"/>
  <c r="IC60" i="8" s="1"/>
  <c r="HU29" i="8"/>
  <c r="HT29" i="8"/>
  <c r="HT42" i="8"/>
  <c r="HV42" i="8" s="1"/>
  <c r="IC42" i="8" s="1"/>
  <c r="HU45" i="8"/>
  <c r="HT45" i="8"/>
  <c r="HU53" i="8"/>
  <c r="HT53" i="8"/>
  <c r="HU34" i="8"/>
  <c r="HV34" i="8" s="1"/>
  <c r="IB34" i="8" s="1"/>
  <c r="HH34" i="8" s="1"/>
  <c r="HU58" i="8"/>
  <c r="HT58" i="8"/>
  <c r="HU37" i="8"/>
  <c r="HT37" i="8"/>
  <c r="HT61" i="8"/>
  <c r="HU61" i="8"/>
  <c r="HT36" i="8"/>
  <c r="HV36" i="8" s="1"/>
  <c r="IB36" i="8" s="1"/>
  <c r="HH36" i="8" s="1"/>
  <c r="HI36" i="8" s="1"/>
  <c r="HJ36" i="8" s="1"/>
  <c r="HK36" i="8" s="1"/>
  <c r="HV48" i="8"/>
  <c r="GU32" i="8"/>
  <c r="GX32" i="8" s="1"/>
  <c r="HA32" i="8" s="1"/>
  <c r="GW53" i="8"/>
  <c r="GT53" i="8" s="1"/>
  <c r="T53" i="8" s="1"/>
  <c r="S52" i="16" s="1"/>
  <c r="GU27" i="8"/>
  <c r="GX27" i="8" s="1"/>
  <c r="HA27" i="8" s="1"/>
  <c r="S27" i="8" s="1"/>
  <c r="R26" i="16" s="1"/>
  <c r="S37" i="16"/>
  <c r="S28" i="16"/>
  <c r="GU36" i="8"/>
  <c r="GX36" i="8" s="1"/>
  <c r="HA36" i="8" s="1"/>
  <c r="S36" i="16"/>
  <c r="GW50" i="8"/>
  <c r="GT50" i="8" s="1"/>
  <c r="T50" i="8" s="1"/>
  <c r="GU50" i="8" s="1"/>
  <c r="GX50" i="8" s="1"/>
  <c r="HA50" i="8" s="1"/>
  <c r="S50" i="8" s="1"/>
  <c r="GW60" i="8"/>
  <c r="GT60" i="8" s="1"/>
  <c r="T60" i="8" s="1"/>
  <c r="GU60" i="8" s="1"/>
  <c r="GX60" i="8" s="1"/>
  <c r="HA60" i="8" s="1"/>
  <c r="S60" i="8" s="1"/>
  <c r="R37" i="16"/>
  <c r="GU57" i="8"/>
  <c r="GX57" i="8" s="1"/>
  <c r="HA57" i="8" s="1"/>
  <c r="S57" i="8" s="1"/>
  <c r="GU48" i="8"/>
  <c r="GX48" i="8" s="1"/>
  <c r="HA48" i="8" s="1"/>
  <c r="S48" i="8" s="1"/>
  <c r="GU58" i="8"/>
  <c r="GX58" i="8" s="1"/>
  <c r="HA58" i="8" s="1"/>
  <c r="S58" i="8" s="1"/>
  <c r="GU40" i="8"/>
  <c r="GX40" i="8" s="1"/>
  <c r="HA40" i="8" s="1"/>
  <c r="S40" i="8" s="1"/>
  <c r="S34" i="16"/>
  <c r="GU41" i="8"/>
  <c r="GX41" i="8" s="1"/>
  <c r="HA41" i="8" s="1"/>
  <c r="S41" i="8" s="1"/>
  <c r="S24" i="16"/>
  <c r="GU43" i="8"/>
  <c r="GX43" i="8" s="1"/>
  <c r="HA43" i="8" s="1"/>
  <c r="S43" i="8" s="1"/>
  <c r="GU28" i="8"/>
  <c r="GX28" i="8" s="1"/>
  <c r="HA28" i="8" s="1"/>
  <c r="S28" i="8" s="1"/>
  <c r="J31" i="16"/>
  <c r="R28" i="16"/>
  <c r="R29" i="16"/>
  <c r="R20" i="16"/>
  <c r="R36" i="16"/>
  <c r="J37" i="16"/>
  <c r="S25" i="16"/>
  <c r="S53" i="16"/>
  <c r="GU42" i="8"/>
  <c r="GX42" i="8" s="1"/>
  <c r="HA42" i="8" s="1"/>
  <c r="S42" i="8" s="1"/>
  <c r="GU45" i="8"/>
  <c r="GX45" i="8" s="1"/>
  <c r="HA45" i="8" s="1"/>
  <c r="S45" i="8" s="1"/>
  <c r="GU59" i="8"/>
  <c r="GX59" i="8" s="1"/>
  <c r="HA59" i="8" s="1"/>
  <c r="S59" i="8" s="1"/>
  <c r="R33" i="16"/>
  <c r="GU56" i="8"/>
  <c r="GX56" i="8" s="1"/>
  <c r="HA56" i="8" s="1"/>
  <c r="S56" i="8" s="1"/>
  <c r="GU24" i="8"/>
  <c r="GX24" i="8" s="1"/>
  <c r="HA24" i="8" s="1"/>
  <c r="S24" i="8" s="1"/>
  <c r="GU33" i="8"/>
  <c r="GX33" i="8" s="1"/>
  <c r="HA33" i="8" s="1"/>
  <c r="S33" i="8" s="1"/>
  <c r="GU49" i="8"/>
  <c r="GX49" i="8" s="1"/>
  <c r="HA49" i="8" s="1"/>
  <c r="S49" i="8" s="1"/>
  <c r="R19" i="16"/>
  <c r="S27" i="16"/>
  <c r="GW61" i="8"/>
  <c r="GT61" i="8" s="1"/>
  <c r="T61" i="8" s="1"/>
  <c r="S60" i="16" s="1"/>
  <c r="S58" i="16"/>
  <c r="GW46" i="8"/>
  <c r="GT46" i="8" s="1"/>
  <c r="T46" i="8" s="1"/>
  <c r="GW52" i="8"/>
  <c r="GT52" i="8" s="1"/>
  <c r="T52" i="8" s="1"/>
  <c r="S39" i="16"/>
  <c r="GW51" i="8"/>
  <c r="GT51" i="8" s="1"/>
  <c r="T51" i="8" s="1"/>
  <c r="S43" i="16"/>
  <c r="S44" i="16"/>
  <c r="S57" i="16"/>
  <c r="S41" i="16"/>
  <c r="S42" i="16"/>
  <c r="S48" i="16"/>
  <c r="GU25" i="8"/>
  <c r="GX25" i="8" s="1"/>
  <c r="HA25" i="8" s="1"/>
  <c r="S25" i="8" s="1"/>
  <c r="GU54" i="8"/>
  <c r="GX54" i="8" s="1"/>
  <c r="HA54" i="8" s="1"/>
  <c r="S54" i="8" s="1"/>
  <c r="S23" i="16"/>
  <c r="S32" i="16"/>
  <c r="S40" i="16"/>
  <c r="GU26" i="8"/>
  <c r="GX26" i="8" s="1"/>
  <c r="HA26" i="8" s="1"/>
  <c r="S26" i="8" s="1"/>
  <c r="S47" i="16"/>
  <c r="S55" i="16"/>
  <c r="S56" i="16"/>
  <c r="GU35" i="8"/>
  <c r="GX35" i="8" s="1"/>
  <c r="HA35" i="8" s="1"/>
  <c r="S35" i="8" s="1"/>
  <c r="S61" i="16" l="1"/>
  <c r="IB50" i="8"/>
  <c r="HH50" i="8" s="1"/>
  <c r="HI50" i="8" s="1"/>
  <c r="HJ50" i="8" s="1"/>
  <c r="HK50" i="8" s="1"/>
  <c r="J46" i="8"/>
  <c r="J62" i="8"/>
  <c r="J61" i="16" s="1"/>
  <c r="I55" i="16"/>
  <c r="J56" i="8"/>
  <c r="J55" i="16" s="1"/>
  <c r="J33" i="8"/>
  <c r="J32" i="16" s="1"/>
  <c r="I32" i="16"/>
  <c r="I40" i="16"/>
  <c r="J41" i="8"/>
  <c r="J40" i="16" s="1"/>
  <c r="H35" i="16"/>
  <c r="I36" i="8"/>
  <c r="I56" i="16"/>
  <c r="J57" i="8"/>
  <c r="J56" i="16" s="1"/>
  <c r="H58" i="16"/>
  <c r="I59" i="8"/>
  <c r="H34" i="16"/>
  <c r="I35" i="8"/>
  <c r="H50" i="16"/>
  <c r="I51" i="8"/>
  <c r="J54" i="8"/>
  <c r="J53" i="16" s="1"/>
  <c r="I53" i="16"/>
  <c r="H27" i="16"/>
  <c r="I24" i="16"/>
  <c r="J25" i="8"/>
  <c r="J24" i="16" s="1"/>
  <c r="I26" i="16"/>
  <c r="J27" i="8"/>
  <c r="J26" i="16" s="1"/>
  <c r="I23" i="16"/>
  <c r="J24" i="8"/>
  <c r="J23" i="16" s="1"/>
  <c r="E24" i="16"/>
  <c r="F25" i="8"/>
  <c r="F24" i="16" s="1"/>
  <c r="HJ26" i="8"/>
  <c r="HK26" i="8" s="1"/>
  <c r="I26" i="8" s="1"/>
  <c r="HI34" i="8"/>
  <c r="HJ34" i="8" s="1"/>
  <c r="HK34" i="8" s="1"/>
  <c r="IB49" i="8"/>
  <c r="HH49" i="8" s="1"/>
  <c r="HI49" i="8" s="1"/>
  <c r="HJ49" i="8" s="1"/>
  <c r="HK49" i="8" s="1"/>
  <c r="I49" i="8" s="1"/>
  <c r="HV37" i="8"/>
  <c r="IB37" i="8" s="1"/>
  <c r="HH37" i="8" s="1"/>
  <c r="HI37" i="8" s="1"/>
  <c r="HJ37" i="8" s="1"/>
  <c r="HK37" i="8" s="1"/>
  <c r="HV53" i="8"/>
  <c r="IC53" i="8" s="1"/>
  <c r="IB44" i="8"/>
  <c r="HH44" i="8" s="1"/>
  <c r="HI44" i="8" s="1"/>
  <c r="HJ44" i="8" s="1"/>
  <c r="HK44" i="8" s="1"/>
  <c r="HV58" i="8"/>
  <c r="IC58" i="8" s="1"/>
  <c r="IC43" i="8"/>
  <c r="IB43" i="8"/>
  <c r="HH43" i="8" s="1"/>
  <c r="HI43" i="8" s="1"/>
  <c r="HJ43" i="8" s="1"/>
  <c r="HK43" i="8" s="1"/>
  <c r="IB42" i="8"/>
  <c r="HH42" i="8" s="1"/>
  <c r="HI42" i="8" s="1"/>
  <c r="HJ42" i="8" s="1"/>
  <c r="HK42" i="8" s="1"/>
  <c r="IC40" i="8"/>
  <c r="IB40" i="8"/>
  <c r="HH40" i="8" s="1"/>
  <c r="HI40" i="8" s="1"/>
  <c r="HJ40" i="8" s="1"/>
  <c r="HK40" i="8" s="1"/>
  <c r="I40" i="8" s="1"/>
  <c r="IC48" i="8"/>
  <c r="IB48" i="8"/>
  <c r="HH48" i="8" s="1"/>
  <c r="HI48" i="8" s="1"/>
  <c r="HJ48" i="8" s="1"/>
  <c r="HK48" i="8" s="1"/>
  <c r="I48" i="8" s="1"/>
  <c r="IB60" i="8"/>
  <c r="HH60" i="8" s="1"/>
  <c r="HI60" i="8" s="1"/>
  <c r="HJ60" i="8" s="1"/>
  <c r="HK60" i="8" s="1"/>
  <c r="IB52" i="8"/>
  <c r="HH52" i="8" s="1"/>
  <c r="HI52" i="8" s="1"/>
  <c r="HJ52" i="8" s="1"/>
  <c r="HK52" i="8" s="1"/>
  <c r="HV29" i="8"/>
  <c r="IB29" i="8" s="1"/>
  <c r="HH29" i="8" s="1"/>
  <c r="HI29" i="8" s="1"/>
  <c r="HJ29" i="8" s="1"/>
  <c r="HK29" i="8" s="1"/>
  <c r="I29" i="8" s="1"/>
  <c r="HV45" i="8"/>
  <c r="HV61" i="8"/>
  <c r="S36" i="8"/>
  <c r="R35" i="16" s="1"/>
  <c r="S32" i="8"/>
  <c r="R31" i="16" s="1"/>
  <c r="GU53" i="8"/>
  <c r="GX53" i="8" s="1"/>
  <c r="HA53" i="8" s="1"/>
  <c r="S49" i="16"/>
  <c r="S59" i="16"/>
  <c r="GU46" i="8"/>
  <c r="GX46" i="8" s="1"/>
  <c r="HA46" i="8" s="1"/>
  <c r="S46" i="8" s="1"/>
  <c r="R25" i="16"/>
  <c r="R53" i="16"/>
  <c r="R48" i="16"/>
  <c r="R23" i="16"/>
  <c r="R55" i="16"/>
  <c r="R58" i="16"/>
  <c r="J45" i="16"/>
  <c r="R43" i="16"/>
  <c r="R42" i="16"/>
  <c r="R40" i="16"/>
  <c r="R39" i="16"/>
  <c r="R59" i="16"/>
  <c r="R56" i="16"/>
  <c r="R24" i="16"/>
  <c r="GU52" i="8"/>
  <c r="GX52" i="8" s="1"/>
  <c r="HA52" i="8" s="1"/>
  <c r="S52" i="8" s="1"/>
  <c r="GU61" i="8"/>
  <c r="GX61" i="8" s="1"/>
  <c r="HA61" i="8" s="1"/>
  <c r="S61" i="8" s="1"/>
  <c r="R34" i="16"/>
  <c r="GU51" i="8"/>
  <c r="GX51" i="8" s="1"/>
  <c r="HA51" i="8" s="1"/>
  <c r="S51" i="8" s="1"/>
  <c r="R32" i="16"/>
  <c r="R44" i="16"/>
  <c r="R41" i="16"/>
  <c r="R27" i="16"/>
  <c r="R49" i="16"/>
  <c r="R57" i="16"/>
  <c r="R47" i="16"/>
  <c r="R61" i="16"/>
  <c r="S45" i="16"/>
  <c r="S51" i="16"/>
  <c r="S50" i="16"/>
  <c r="J40" i="8" l="1"/>
  <c r="J39" i="16" s="1"/>
  <c r="I39" i="16"/>
  <c r="J48" i="8"/>
  <c r="J47" i="16" s="1"/>
  <c r="I47" i="16"/>
  <c r="H36" i="16"/>
  <c r="I37" i="8"/>
  <c r="J51" i="8"/>
  <c r="J50" i="16" s="1"/>
  <c r="I50" i="16"/>
  <c r="I58" i="16"/>
  <c r="J59" i="8"/>
  <c r="J58" i="16" s="1"/>
  <c r="J35" i="8"/>
  <c r="J34" i="16" s="1"/>
  <c r="I34" i="16"/>
  <c r="H51" i="16"/>
  <c r="I52" i="8"/>
  <c r="I35" i="16"/>
  <c r="J36" i="8"/>
  <c r="J35" i="16" s="1"/>
  <c r="I48" i="16"/>
  <c r="J49" i="8"/>
  <c r="J48" i="16" s="1"/>
  <c r="H59" i="16"/>
  <c r="I60" i="8"/>
  <c r="H41" i="16"/>
  <c r="I42" i="8"/>
  <c r="H33" i="16"/>
  <c r="I34" i="8"/>
  <c r="H42" i="16"/>
  <c r="I43" i="8"/>
  <c r="H43" i="16"/>
  <c r="I44" i="8"/>
  <c r="H49" i="16"/>
  <c r="I50" i="8"/>
  <c r="H28" i="16"/>
  <c r="H25" i="16"/>
  <c r="I27" i="16"/>
  <c r="J28" i="8"/>
  <c r="J27" i="16" s="1"/>
  <c r="IB58" i="8"/>
  <c r="HH58" i="8" s="1"/>
  <c r="HI58" i="8" s="1"/>
  <c r="HJ58" i="8" s="1"/>
  <c r="HK58" i="8" s="1"/>
  <c r="IB53" i="8"/>
  <c r="HH53" i="8" s="1"/>
  <c r="HI53" i="8" s="1"/>
  <c r="HJ53" i="8" s="1"/>
  <c r="HK53" i="8" s="1"/>
  <c r="IC61" i="8"/>
  <c r="IB61" i="8"/>
  <c r="HH61" i="8" s="1"/>
  <c r="HI61" i="8" s="1"/>
  <c r="HJ61" i="8" s="1"/>
  <c r="HK61" i="8" s="1"/>
  <c r="IC45" i="8"/>
  <c r="IB45" i="8"/>
  <c r="HH45" i="8" s="1"/>
  <c r="HI45" i="8" s="1"/>
  <c r="HJ45" i="8" s="1"/>
  <c r="HK45" i="8" s="1"/>
  <c r="S53" i="8"/>
  <c r="R52" i="16" s="1"/>
  <c r="R60" i="16"/>
  <c r="R50" i="16"/>
  <c r="R51" i="16"/>
  <c r="R45" i="16"/>
  <c r="H52" i="16" l="1"/>
  <c r="I53" i="8"/>
  <c r="H57" i="16"/>
  <c r="I58" i="8"/>
  <c r="J60" i="8"/>
  <c r="J59" i="16" s="1"/>
  <c r="I59" i="16"/>
  <c r="I43" i="16"/>
  <c r="J44" i="8"/>
  <c r="J43" i="16" s="1"/>
  <c r="H44" i="16"/>
  <c r="I45" i="8"/>
  <c r="I49" i="16"/>
  <c r="J50" i="8"/>
  <c r="J49" i="16" s="1"/>
  <c r="I42" i="16"/>
  <c r="J43" i="8"/>
  <c r="J42" i="16" s="1"/>
  <c r="I33" i="16"/>
  <c r="J34" i="8"/>
  <c r="J33" i="16" s="1"/>
  <c r="J42" i="8"/>
  <c r="J41" i="16" s="1"/>
  <c r="I41" i="16"/>
  <c r="J37" i="8"/>
  <c r="J36" i="16" s="1"/>
  <c r="I36" i="16"/>
  <c r="I51" i="16"/>
  <c r="J52" i="8"/>
  <c r="J51" i="16" s="1"/>
  <c r="H60" i="16"/>
  <c r="I61" i="8"/>
  <c r="I28" i="16"/>
  <c r="J29" i="8"/>
  <c r="J28" i="16" s="1"/>
  <c r="I25" i="16"/>
  <c r="J26" i="8"/>
  <c r="J25" i="16" s="1"/>
  <c r="J58" i="8" l="1"/>
  <c r="J57" i="16" s="1"/>
  <c r="I57" i="16"/>
  <c r="I60" i="16"/>
  <c r="J61" i="8"/>
  <c r="J60" i="16" s="1"/>
  <c r="J53" i="8"/>
  <c r="J52" i="16" s="1"/>
  <c r="I52" i="16"/>
  <c r="I44" i="16"/>
  <c r="J45" i="8"/>
  <c r="J44"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 Henson</author>
  </authors>
  <commentList>
    <comment ref="Z3" authorId="0" shapeId="0" xr:uid="{00000000-0006-0000-0100-000001000000}">
      <text>
        <r>
          <rPr>
            <b/>
            <sz val="9"/>
            <color indexed="81"/>
            <rFont val="Tahoma"/>
            <family val="2"/>
          </rPr>
          <t>Thomas Henson:</t>
        </r>
        <r>
          <rPr>
            <sz val="9"/>
            <color indexed="81"/>
            <rFont val="Tahoma"/>
            <family val="2"/>
          </rPr>
          <t xml:space="preserve">
Nummer natte bol, droge bol, relatieve vochtigheid</t>
        </r>
      </text>
    </comment>
    <comment ref="Z4" authorId="0" shapeId="0" xr:uid="{00000000-0006-0000-0100-000002000000}">
      <text>
        <r>
          <rPr>
            <b/>
            <sz val="9"/>
            <color indexed="81"/>
            <rFont val="Tahoma"/>
            <family val="2"/>
          </rPr>
          <t>Thomas Henson:</t>
        </r>
        <r>
          <rPr>
            <sz val="9"/>
            <color indexed="81"/>
            <rFont val="Tahoma"/>
            <family val="2"/>
          </rPr>
          <t xml:space="preserve">
Nummer additieven</t>
        </r>
      </text>
    </comment>
    <comment ref="Z5" authorId="0" shapeId="0" xr:uid="{00000000-0006-0000-0100-000003000000}">
      <text>
        <r>
          <rPr>
            <b/>
            <sz val="9"/>
            <color indexed="81"/>
            <rFont val="Tahoma"/>
            <family val="2"/>
          </rPr>
          <t>Thomas Henson:</t>
        </r>
        <r>
          <rPr>
            <sz val="9"/>
            <color indexed="81"/>
            <rFont val="Tahoma"/>
            <family val="2"/>
          </rPr>
          <t xml:space="preserve">
SI or Imperial</t>
        </r>
      </text>
    </comment>
    <comment ref="AK5" authorId="0" shapeId="0" xr:uid="{00000000-0006-0000-0100-000004000000}">
      <text>
        <r>
          <rPr>
            <b/>
            <sz val="9"/>
            <color indexed="81"/>
            <rFont val="Tahoma"/>
            <family val="2"/>
          </rPr>
          <t>Thomas Henson:</t>
        </r>
        <r>
          <rPr>
            <sz val="9"/>
            <color indexed="81"/>
            <rFont val="Tahoma"/>
            <family val="2"/>
          </rPr>
          <t xml:space="preserve">
Nummer voor soort toestel.</t>
        </r>
      </text>
    </comment>
    <comment ref="AL5" authorId="0" shapeId="0" xr:uid="{00000000-0006-0000-0100-000005000000}">
      <text>
        <r>
          <rPr>
            <b/>
            <sz val="9"/>
            <color indexed="81"/>
            <rFont val="Tahoma"/>
            <family val="2"/>
          </rPr>
          <t>Thomas Henson:</t>
        </r>
        <r>
          <rPr>
            <sz val="9"/>
            <color indexed="81"/>
            <rFont val="Tahoma"/>
            <family val="2"/>
          </rPr>
          <t xml:space="preserve">
Nummer voor soort ventilator.</t>
        </r>
      </text>
    </comment>
    <comment ref="Z6" authorId="0" shapeId="0" xr:uid="{00000000-0006-0000-0100-000006000000}">
      <text>
        <r>
          <rPr>
            <b/>
            <sz val="9"/>
            <color indexed="81"/>
            <rFont val="Tahoma"/>
            <family val="2"/>
          </rPr>
          <t>Thomas Henson:</t>
        </r>
        <r>
          <rPr>
            <sz val="9"/>
            <color indexed="81"/>
            <rFont val="Tahoma"/>
            <family val="2"/>
          </rPr>
          <t xml:space="preserve">
Nummer omkasting</t>
        </r>
      </text>
    </comment>
    <comment ref="Z7" authorId="0" shapeId="0" xr:uid="{00000000-0006-0000-0100-000007000000}">
      <text>
        <r>
          <rPr>
            <b/>
            <sz val="9"/>
            <color indexed="81"/>
            <rFont val="Tahoma"/>
            <family val="2"/>
          </rPr>
          <t>Thomas Henson:</t>
        </r>
        <r>
          <rPr>
            <sz val="9"/>
            <color indexed="81"/>
            <rFont val="Tahoma"/>
            <family val="2"/>
          </rPr>
          <t xml:space="preserve">
Nummer taal</t>
        </r>
      </text>
    </comment>
    <comment ref="Z8" authorId="0" shapeId="0" xr:uid="{00000000-0006-0000-0100-000008000000}">
      <text>
        <r>
          <rPr>
            <b/>
            <sz val="9"/>
            <color indexed="81"/>
            <rFont val="Tahoma"/>
            <family val="2"/>
          </rPr>
          <t>Thomas Henson:</t>
        </r>
        <r>
          <rPr>
            <sz val="9"/>
            <color indexed="81"/>
            <rFont val="Tahoma"/>
            <family val="2"/>
          </rPr>
          <t xml:space="preserve">
Nummer plafond- of wandmodel.</t>
        </r>
      </text>
    </comment>
    <comment ref="AX8" authorId="0" shapeId="0" xr:uid="{00000000-0006-0000-0100-000009000000}">
      <text>
        <r>
          <rPr>
            <b/>
            <sz val="9"/>
            <color indexed="81"/>
            <rFont val="Tahoma"/>
            <family val="2"/>
          </rPr>
          <t>Thomas Henson:</t>
        </r>
        <r>
          <rPr>
            <sz val="9"/>
            <color indexed="81"/>
            <rFont val="Tahoma"/>
            <family val="2"/>
          </rPr>
          <t xml:space="preserve">
Values recieved from 
www.engineeringtoolbox.com/ethylene-glycol-d_146.html</t>
        </r>
      </text>
    </comment>
    <comment ref="Z9" authorId="0" shapeId="0" xr:uid="{00000000-0006-0000-0100-00000A000000}">
      <text>
        <r>
          <rPr>
            <b/>
            <sz val="9"/>
            <color indexed="81"/>
            <rFont val="Tahoma"/>
            <family val="2"/>
          </rPr>
          <t>Thomas Henson:</t>
        </r>
        <r>
          <rPr>
            <sz val="9"/>
            <color indexed="81"/>
            <rFont val="Tahoma"/>
            <family val="2"/>
          </rPr>
          <t xml:space="preserve">
show this message again or dont!</t>
        </r>
      </text>
    </comment>
    <comment ref="AN9" authorId="0" shapeId="0" xr:uid="{00000000-0006-0000-0100-00000B000000}">
      <text>
        <r>
          <rPr>
            <b/>
            <sz val="9"/>
            <color indexed="81"/>
            <rFont val="Tahoma"/>
            <family val="2"/>
          </rPr>
          <t>Thomas Henson:</t>
        </r>
        <r>
          <rPr>
            <sz val="9"/>
            <color indexed="81"/>
            <rFont val="Tahoma"/>
            <family val="2"/>
          </rPr>
          <t xml:space="preserve">
By-pass factor.</t>
        </r>
      </text>
    </comment>
    <comment ref="X12" authorId="0" shapeId="0" xr:uid="{00000000-0006-0000-0100-00000C000000}">
      <text>
        <r>
          <rPr>
            <b/>
            <sz val="9"/>
            <color indexed="81"/>
            <rFont val="Tahoma"/>
            <family val="2"/>
          </rPr>
          <t>Thomas Henson:</t>
        </r>
        <r>
          <rPr>
            <sz val="9"/>
            <color indexed="81"/>
            <rFont val="Tahoma"/>
            <family val="2"/>
          </rPr>
          <t xml:space="preserve">
Aan de hand van luchtdebiet testen is vastgesteld dat een omkasting ongeacht welke lengte noch welke stuurspanning een debietverlies van circa 13% levert. Dit van document "Briza22-Debietverlies-omkasting".</t>
        </r>
      </text>
    </comment>
    <comment ref="D15" authorId="0" shapeId="0" xr:uid="{00000000-0006-0000-0100-00000D000000}">
      <text>
        <r>
          <rPr>
            <b/>
            <sz val="9"/>
            <color indexed="81"/>
            <rFont val="Tahoma"/>
            <family val="2"/>
          </rPr>
          <t>Thomas Henson:</t>
        </r>
        <r>
          <rPr>
            <sz val="9"/>
            <color indexed="81"/>
            <rFont val="Tahoma"/>
            <family val="2"/>
          </rPr>
          <t xml:space="preserve">
Conversiefactor voor BTU/h naar Watt</t>
        </r>
      </text>
    </comment>
    <comment ref="E15" authorId="0" shapeId="0" xr:uid="{00000000-0006-0000-0100-00000E000000}">
      <text>
        <r>
          <rPr>
            <b/>
            <sz val="9"/>
            <color indexed="81"/>
            <rFont val="Tahoma"/>
            <family val="2"/>
          </rPr>
          <t>Thomas Henson:</t>
        </r>
        <r>
          <rPr>
            <sz val="9"/>
            <color indexed="81"/>
            <rFont val="Tahoma"/>
            <family val="2"/>
          </rPr>
          <t xml:space="preserve">
Conversiefactor GPM naar l/h</t>
        </r>
      </text>
    </comment>
    <comment ref="F15" authorId="0" shapeId="0" xr:uid="{00000000-0006-0000-0100-00000F000000}">
      <text>
        <r>
          <rPr>
            <b/>
            <sz val="9"/>
            <color indexed="81"/>
            <rFont val="Tahoma"/>
            <family val="2"/>
          </rPr>
          <t>Thomas Henson:</t>
        </r>
        <r>
          <rPr>
            <sz val="9"/>
            <color indexed="81"/>
            <rFont val="Tahoma"/>
            <family val="2"/>
          </rPr>
          <t xml:space="preserve">
Conversiefactor ftH2O naar kPa</t>
        </r>
      </text>
    </comment>
    <comment ref="H15" authorId="0" shapeId="0" xr:uid="{00000000-0006-0000-0100-000010000000}">
      <text>
        <r>
          <rPr>
            <b/>
            <sz val="9"/>
            <color indexed="81"/>
            <rFont val="Tahoma"/>
            <family val="2"/>
          </rPr>
          <t>Thomas Henson:</t>
        </r>
        <r>
          <rPr>
            <sz val="9"/>
            <color indexed="81"/>
            <rFont val="Tahoma"/>
            <family val="2"/>
          </rPr>
          <t xml:space="preserve">
Veriest minimum verschil tussen aanvoer en retourtemperatuur bij ingave voor gewenst regime.</t>
        </r>
      </text>
    </comment>
    <comment ref="K15" authorId="0" shapeId="0" xr:uid="{00000000-0006-0000-0100-000011000000}">
      <text>
        <r>
          <rPr>
            <b/>
            <sz val="9"/>
            <color indexed="81"/>
            <rFont val="Tahoma"/>
            <family val="2"/>
          </rPr>
          <t>Thomas Henson:</t>
        </r>
        <r>
          <rPr>
            <sz val="9"/>
            <color indexed="81"/>
            <rFont val="Tahoma"/>
            <family val="2"/>
          </rPr>
          <t xml:space="preserve">
Conversiefactor m³/h naar CFM</t>
        </r>
      </text>
    </comment>
    <comment ref="L15" authorId="0" shapeId="0" xr:uid="{00000000-0006-0000-0100-000012000000}">
      <text>
        <r>
          <rPr>
            <b/>
            <sz val="9"/>
            <color indexed="81"/>
            <rFont val="Tahoma"/>
            <family val="2"/>
          </rPr>
          <t>Thomas Henson:</t>
        </r>
        <r>
          <rPr>
            <sz val="9"/>
            <color indexed="81"/>
            <rFont val="Tahoma"/>
            <family val="2"/>
          </rPr>
          <t xml:space="preserve">
Conversiefactor m³/h OF CFM naar kg/s</t>
        </r>
      </text>
    </comment>
    <comment ref="M15" authorId="0" shapeId="0" xr:uid="{00000000-0006-0000-0100-000013000000}">
      <text>
        <r>
          <rPr>
            <b/>
            <sz val="9"/>
            <color indexed="81"/>
            <rFont val="Tahoma"/>
            <family val="2"/>
          </rPr>
          <t>Thomas Henson:</t>
        </r>
        <r>
          <rPr>
            <sz val="9"/>
            <color indexed="81"/>
            <rFont val="Tahoma"/>
            <family val="2"/>
          </rPr>
          <t xml:space="preserve">
Conversiefactor m/s naar ft/min</t>
        </r>
      </text>
    </comment>
    <comment ref="N15" authorId="0" shapeId="0" xr:uid="{00000000-0006-0000-0100-000014000000}">
      <text>
        <r>
          <rPr>
            <b/>
            <sz val="9"/>
            <color indexed="81"/>
            <rFont val="Tahoma"/>
            <family val="2"/>
          </rPr>
          <t>Thomas Henson:</t>
        </r>
        <r>
          <rPr>
            <sz val="9"/>
            <color indexed="81"/>
            <rFont val="Tahoma"/>
            <family val="2"/>
          </rPr>
          <t xml:space="preserve">
Conversiefactor CFM naar m³/h</t>
        </r>
      </text>
    </comment>
    <comment ref="O15" authorId="0" shapeId="0" xr:uid="{00000000-0006-0000-0100-000015000000}">
      <text>
        <r>
          <rPr>
            <b/>
            <sz val="9"/>
            <color indexed="81"/>
            <rFont val="Tahoma"/>
            <family val="2"/>
          </rPr>
          <t>Thomas Henson:</t>
        </r>
        <r>
          <rPr>
            <sz val="9"/>
            <color indexed="81"/>
            <rFont val="Tahoma"/>
            <family val="2"/>
          </rPr>
          <t xml:space="preserve">
Voor herrekening naar Farenheit</t>
        </r>
      </text>
    </comment>
    <comment ref="Q15" authorId="0" shapeId="0" xr:uid="{00000000-0006-0000-0100-000016000000}">
      <text>
        <r>
          <rPr>
            <b/>
            <sz val="9"/>
            <color indexed="81"/>
            <rFont val="Tahoma"/>
            <family val="2"/>
          </rPr>
          <t>Thomas Henson:</t>
        </r>
        <r>
          <rPr>
            <sz val="9"/>
            <color indexed="81"/>
            <rFont val="Tahoma"/>
            <family val="2"/>
          </rPr>
          <t xml:space="preserve">
Voor herrekening naar Farenheit</t>
        </r>
      </text>
    </comment>
    <comment ref="R15" authorId="0" shapeId="0" xr:uid="{00000000-0006-0000-0100-000017000000}">
      <text>
        <r>
          <rPr>
            <sz val="9"/>
            <color indexed="81"/>
            <rFont val="Tahoma"/>
            <family val="2"/>
          </rPr>
          <t>Herrekening van milimeter naar inches.</t>
        </r>
      </text>
    </comment>
    <comment ref="X16" authorId="0" shapeId="0" xr:uid="{00000000-0006-0000-0100-000018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2-pijp.</t>
        </r>
      </text>
    </comment>
    <comment ref="Y16" authorId="0" shapeId="0" xr:uid="{00000000-0006-0000-0100-000019000000}">
      <text>
        <r>
          <rPr>
            <b/>
            <sz val="9"/>
            <color indexed="81"/>
            <rFont val="Tahoma"/>
            <family val="2"/>
          </rPr>
          <t>Thomas Henson:</t>
        </r>
        <r>
          <rPr>
            <sz val="9"/>
            <color indexed="81"/>
            <rFont val="Tahoma"/>
            <family val="2"/>
          </rPr>
          <t xml:space="preserve">
correcte exponenten voor herberekenen van voelbaar koelvermogen voor andere regimes.</t>
        </r>
      </text>
    </comment>
    <comment ref="Z16" authorId="0" shapeId="0" xr:uid="{00000000-0006-0000-0100-00001A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4-pijp.</t>
        </r>
      </text>
    </comment>
    <comment ref="AA16" authorId="0" shapeId="0" xr:uid="{00000000-0006-0000-0100-00001B000000}">
      <text>
        <r>
          <rPr>
            <b/>
            <sz val="9"/>
            <color indexed="81"/>
            <rFont val="Tahoma"/>
            <family val="2"/>
          </rPr>
          <t>Thomas Henson:</t>
        </r>
        <r>
          <rPr>
            <sz val="9"/>
            <color indexed="81"/>
            <rFont val="Tahoma"/>
            <family val="2"/>
          </rPr>
          <t xml:space="preserve">
gebruikte exponent voor herberekening afhankelijk voor 2- of 4-pijp aansluiting.</t>
        </r>
      </text>
    </comment>
    <comment ref="AB16" authorId="0" shapeId="0" xr:uid="{00000000-0006-0000-0100-00001C000000}">
      <text>
        <r>
          <rPr>
            <b/>
            <sz val="9"/>
            <color indexed="81"/>
            <rFont val="Tahoma"/>
            <family val="2"/>
          </rPr>
          <t>Thomas Henson:</t>
        </r>
        <r>
          <rPr>
            <sz val="9"/>
            <color indexed="81"/>
            <rFont val="Tahoma"/>
            <family val="2"/>
          </rPr>
          <t xml:space="preserve">
een tegendruk boven deze waarde is te hoog en zal de ventilator niet overwonnen krijgen. Deze waardes zijn gehaald uit de debietmetingen van EBM pabst.</t>
        </r>
      </text>
    </comment>
    <comment ref="AC16" authorId="0" shapeId="0" xr:uid="{00000000-0006-0000-0100-00001D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2-pijp.</t>
        </r>
      </text>
    </comment>
    <comment ref="AD16" authorId="0" shapeId="0" xr:uid="{00000000-0006-0000-0100-00001E000000}">
      <text>
        <r>
          <rPr>
            <b/>
            <sz val="9"/>
            <color indexed="81"/>
            <rFont val="Tahoma"/>
            <family val="2"/>
          </rPr>
          <t>Thomas Henson:</t>
        </r>
        <r>
          <rPr>
            <sz val="9"/>
            <color indexed="81"/>
            <rFont val="Tahoma"/>
            <family val="2"/>
          </rPr>
          <t xml:space="preserve">
correcte exponenten voor herberekenen van voelbaar koelvermogen voor andere regimes.</t>
        </r>
      </text>
    </comment>
    <comment ref="AE16" authorId="0" shapeId="0" xr:uid="{00000000-0006-0000-0100-00001F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4-pijp.</t>
        </r>
      </text>
    </comment>
    <comment ref="AF16" authorId="0" shapeId="0" xr:uid="{00000000-0006-0000-0100-000020000000}">
      <text>
        <r>
          <rPr>
            <b/>
            <sz val="9"/>
            <color indexed="81"/>
            <rFont val="Tahoma"/>
            <family val="2"/>
          </rPr>
          <t>Thomas Henson:</t>
        </r>
        <r>
          <rPr>
            <sz val="9"/>
            <color indexed="81"/>
            <rFont val="Tahoma"/>
            <family val="2"/>
          </rPr>
          <t xml:space="preserve">
een tegendruk boven deze waarde is te hoog en zal de ventilator niet overwonnen krijgen. Deze waardes zijn gehaald uit de debietmetingen van EBM pabst.</t>
        </r>
      </text>
    </comment>
    <comment ref="AG16" authorId="0" shapeId="0" xr:uid="{00000000-0006-0000-0100-000021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2-pijp.</t>
        </r>
      </text>
    </comment>
    <comment ref="AH16" authorId="0" shapeId="0" xr:uid="{00000000-0006-0000-0100-000022000000}">
      <text>
        <r>
          <rPr>
            <b/>
            <sz val="9"/>
            <color indexed="81"/>
            <rFont val="Tahoma"/>
            <family val="2"/>
          </rPr>
          <t>Thomas Henson:</t>
        </r>
        <r>
          <rPr>
            <sz val="9"/>
            <color indexed="81"/>
            <rFont val="Tahoma"/>
            <family val="2"/>
          </rPr>
          <t xml:space="preserve">
correcte exponenten voor herberekenen van voelbaar koelvermogen voor andere regimes.</t>
        </r>
      </text>
    </comment>
    <comment ref="AI16" authorId="0" shapeId="0" xr:uid="{00000000-0006-0000-0100-000023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4-pijp.</t>
        </r>
      </text>
    </comment>
    <comment ref="AJ16" authorId="0" shapeId="0" xr:uid="{00000000-0006-0000-0100-000024000000}">
      <text>
        <r>
          <rPr>
            <b/>
            <sz val="9"/>
            <color indexed="81"/>
            <rFont val="Tahoma"/>
            <family val="2"/>
          </rPr>
          <t>Thomas Henson:</t>
        </r>
        <r>
          <rPr>
            <sz val="9"/>
            <color indexed="81"/>
            <rFont val="Tahoma"/>
            <family val="2"/>
          </rPr>
          <t xml:space="preserve">
een tegendruk boven deze waarde is te hoog en zal de ventilator niet overwonnen krijgen. Deze waardes zijn gehaald uit de debietmetingen van EBM pabst.</t>
        </r>
      </text>
    </comment>
    <comment ref="AK16" authorId="0" shapeId="0" xr:uid="{00000000-0006-0000-0100-000025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2-pijp.</t>
        </r>
      </text>
    </comment>
    <comment ref="AL16" authorId="0" shapeId="0" xr:uid="{00000000-0006-0000-0100-000026000000}">
      <text>
        <r>
          <rPr>
            <b/>
            <sz val="9"/>
            <color indexed="81"/>
            <rFont val="Tahoma"/>
            <family val="2"/>
          </rPr>
          <t>Thomas Henson:</t>
        </r>
        <r>
          <rPr>
            <sz val="9"/>
            <color indexed="81"/>
            <rFont val="Tahoma"/>
            <family val="2"/>
          </rPr>
          <t xml:space="preserve">
correcte exponenten voor herberekenen van voelbaar koelvermogen voor andere regimes.</t>
        </r>
      </text>
    </comment>
    <comment ref="AM16" authorId="0" shapeId="0" xr:uid="{00000000-0006-0000-0100-000027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4-pijp.</t>
        </r>
      </text>
    </comment>
    <comment ref="AN16" authorId="0" shapeId="0" xr:uid="{00000000-0006-0000-0100-000028000000}">
      <text>
        <r>
          <rPr>
            <b/>
            <sz val="9"/>
            <color indexed="81"/>
            <rFont val="Tahoma"/>
            <family val="2"/>
          </rPr>
          <t>Thomas Henson:</t>
        </r>
        <r>
          <rPr>
            <sz val="9"/>
            <color indexed="81"/>
            <rFont val="Tahoma"/>
            <family val="2"/>
          </rPr>
          <t xml:space="preserve">
een tegendruk boven deze waarde is te hoog en zal de ventilator niet overwonnen krijgen. Deze waardes zijn gehaald uit de debietmetingen van EBM pabst.</t>
        </r>
      </text>
    </comment>
    <comment ref="AO16" authorId="0" shapeId="0" xr:uid="{00000000-0006-0000-0100-000029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2-pijp.</t>
        </r>
      </text>
    </comment>
    <comment ref="AP16" authorId="0" shapeId="0" xr:uid="{00000000-0006-0000-0100-00002A000000}">
      <text>
        <r>
          <rPr>
            <b/>
            <sz val="9"/>
            <color indexed="81"/>
            <rFont val="Tahoma"/>
            <family val="2"/>
          </rPr>
          <t>Thomas Henson:</t>
        </r>
        <r>
          <rPr>
            <sz val="9"/>
            <color indexed="81"/>
            <rFont val="Tahoma"/>
            <family val="2"/>
          </rPr>
          <t xml:space="preserve">
correcte exponenten voor herberekenen van voelbaar koelvermogen voor andere regimes.</t>
        </r>
      </text>
    </comment>
    <comment ref="AQ16" authorId="0" shapeId="0" xr:uid="{00000000-0006-0000-0100-00002B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4-pijp.</t>
        </r>
      </text>
    </comment>
    <comment ref="AR16" authorId="0" shapeId="0" xr:uid="{00000000-0006-0000-0100-00002C000000}">
      <text>
        <r>
          <rPr>
            <b/>
            <sz val="9"/>
            <color indexed="81"/>
            <rFont val="Tahoma"/>
            <family val="2"/>
          </rPr>
          <t>Thomas Henson:</t>
        </r>
        <r>
          <rPr>
            <sz val="9"/>
            <color indexed="81"/>
            <rFont val="Tahoma"/>
            <family val="2"/>
          </rPr>
          <t xml:space="preserve">
een tegendruk boven deze waarde is te hoog en zal de ventilator niet overwonnen krijgen. Deze waardes zijn gehaald uit de debietmetingen van EBM pabst.</t>
        </r>
      </text>
    </comment>
    <comment ref="AS16" authorId="0" shapeId="0" xr:uid="{00000000-0006-0000-0100-00002D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2-pijp.</t>
        </r>
      </text>
    </comment>
    <comment ref="AT16" authorId="0" shapeId="0" xr:uid="{00000000-0006-0000-0100-00002E000000}">
      <text>
        <r>
          <rPr>
            <b/>
            <sz val="9"/>
            <color indexed="81"/>
            <rFont val="Tahoma"/>
            <family val="2"/>
          </rPr>
          <t>Thomas Henson:</t>
        </r>
        <r>
          <rPr>
            <sz val="9"/>
            <color indexed="81"/>
            <rFont val="Tahoma"/>
            <family val="2"/>
          </rPr>
          <t xml:space="preserve">
correcte exponenten voor herberekenen van voelbaar koelvermogen voor andere regimes.</t>
        </r>
      </text>
    </comment>
    <comment ref="AU16" authorId="0" shapeId="0" xr:uid="{00000000-0006-0000-0100-00002F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4-pijp.</t>
        </r>
      </text>
    </comment>
    <comment ref="AV16" authorId="0" shapeId="0" xr:uid="{00000000-0006-0000-0100-000030000000}">
      <text>
        <r>
          <rPr>
            <b/>
            <sz val="9"/>
            <color indexed="81"/>
            <rFont val="Tahoma"/>
            <family val="2"/>
          </rPr>
          <t>Thomas Henson:</t>
        </r>
        <r>
          <rPr>
            <sz val="9"/>
            <color indexed="81"/>
            <rFont val="Tahoma"/>
            <family val="2"/>
          </rPr>
          <t xml:space="preserve">
een tegendruk boven deze waarde is te hoog en zal de ventilator niet overwonnen krijgen. Deze waardes zijn gehaald uit de debietmetingen van EBM pabst.</t>
        </r>
      </text>
    </comment>
    <comment ref="AW16" authorId="0" shapeId="0" xr:uid="{00000000-0006-0000-0100-000031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2-pijp.</t>
        </r>
      </text>
    </comment>
    <comment ref="AX16" authorId="0" shapeId="0" xr:uid="{00000000-0006-0000-0100-000032000000}">
      <text>
        <r>
          <rPr>
            <b/>
            <sz val="9"/>
            <color indexed="81"/>
            <rFont val="Tahoma"/>
            <family val="2"/>
          </rPr>
          <t>Thomas Henson:</t>
        </r>
        <r>
          <rPr>
            <sz val="9"/>
            <color indexed="81"/>
            <rFont val="Tahoma"/>
            <family val="2"/>
          </rPr>
          <t xml:space="preserve">
correcte exponenten voor herberekenen van voelbaar koelvermogen voor andere regimes.</t>
        </r>
      </text>
    </comment>
    <comment ref="AY16" authorId="0" shapeId="0" xr:uid="{00000000-0006-0000-0100-000033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4-pijp.</t>
        </r>
      </text>
    </comment>
    <comment ref="AZ16" authorId="0" shapeId="0" xr:uid="{00000000-0006-0000-0100-000034000000}">
      <text>
        <r>
          <rPr>
            <b/>
            <sz val="9"/>
            <color indexed="81"/>
            <rFont val="Tahoma"/>
            <family val="2"/>
          </rPr>
          <t>Thomas Henson:</t>
        </r>
        <r>
          <rPr>
            <sz val="9"/>
            <color indexed="81"/>
            <rFont val="Tahoma"/>
            <family val="2"/>
          </rPr>
          <t xml:space="preserve">
een tegendruk boven deze waarde is te hoog en zal de ventilator niet overwonnen krijgen. Deze waardes zijn gehaald uit de debietmetingen van EBM pabst.</t>
        </r>
      </text>
    </comment>
    <comment ref="BA16" authorId="0" shapeId="0" xr:uid="{00000000-0006-0000-0100-000035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2-pijp.</t>
        </r>
      </text>
    </comment>
    <comment ref="BB16" authorId="0" shapeId="0" xr:uid="{00000000-0006-0000-0100-000036000000}">
      <text>
        <r>
          <rPr>
            <b/>
            <sz val="9"/>
            <color indexed="81"/>
            <rFont val="Tahoma"/>
            <family val="2"/>
          </rPr>
          <t>Thomas Henson:</t>
        </r>
        <r>
          <rPr>
            <sz val="9"/>
            <color indexed="81"/>
            <rFont val="Tahoma"/>
            <family val="2"/>
          </rPr>
          <t xml:space="preserve">
correcte exponenten voor herberekenen van voelbaar koelvermogen voor andere regimes.</t>
        </r>
      </text>
    </comment>
    <comment ref="BC16" authorId="0" shapeId="0" xr:uid="{00000000-0006-0000-0100-000037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4-pijp.</t>
        </r>
      </text>
    </comment>
    <comment ref="BD16" authorId="0" shapeId="0" xr:uid="{00000000-0006-0000-0100-000038000000}">
      <text>
        <r>
          <rPr>
            <b/>
            <sz val="9"/>
            <color indexed="81"/>
            <rFont val="Tahoma"/>
            <family val="2"/>
          </rPr>
          <t>Thomas Henson:</t>
        </r>
        <r>
          <rPr>
            <sz val="9"/>
            <color indexed="81"/>
            <rFont val="Tahoma"/>
            <family val="2"/>
          </rPr>
          <t xml:space="preserve">
een tegendruk boven deze waarde is te hoog en zal de ventilator niet overwonnen krijgen. Deze waardes zijn gehaald uit de debietmetingen van EBM pabst.</t>
        </r>
      </text>
    </comment>
    <comment ref="BE16" authorId="0" shapeId="0" xr:uid="{00000000-0006-0000-0100-000039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2-pijp.</t>
        </r>
      </text>
    </comment>
    <comment ref="BF16" authorId="0" shapeId="0" xr:uid="{00000000-0006-0000-0100-00003A000000}">
      <text>
        <r>
          <rPr>
            <b/>
            <sz val="9"/>
            <color indexed="81"/>
            <rFont val="Tahoma"/>
            <family val="2"/>
          </rPr>
          <t>Thomas Henson:</t>
        </r>
        <r>
          <rPr>
            <sz val="9"/>
            <color indexed="81"/>
            <rFont val="Tahoma"/>
            <family val="2"/>
          </rPr>
          <t xml:space="preserve">
correcte exponenten voor herberekenen van voelbaar koelvermogen voor andere regimes.</t>
        </r>
      </text>
    </comment>
    <comment ref="BG16" authorId="0" shapeId="0" xr:uid="{00000000-0006-0000-0100-00003B000000}">
      <text>
        <r>
          <rPr>
            <b/>
            <sz val="9"/>
            <color indexed="81"/>
            <rFont val="Tahoma"/>
            <family val="2"/>
          </rPr>
          <t>Thomas Henson:</t>
        </r>
        <r>
          <rPr>
            <sz val="9"/>
            <color indexed="81"/>
            <rFont val="Tahoma"/>
            <family val="2"/>
          </rPr>
          <t xml:space="preserve">
correcte exponenten voor herberekenen van voelbaar verwarmvermogen voor andere regimes wanneer aangelsoten als 4-pijp.</t>
        </r>
      </text>
    </comment>
    <comment ref="BH16" authorId="0" shapeId="0" xr:uid="{00000000-0006-0000-0100-00003C000000}">
      <text>
        <r>
          <rPr>
            <b/>
            <sz val="9"/>
            <color indexed="81"/>
            <rFont val="Tahoma"/>
            <family val="2"/>
          </rPr>
          <t>Thomas Henson:</t>
        </r>
        <r>
          <rPr>
            <sz val="9"/>
            <color indexed="81"/>
            <rFont val="Tahoma"/>
            <family val="2"/>
          </rPr>
          <t xml:space="preserve">
een tegendruk boven deze waarde is te hoog en zal de ventilator niet overwonnen krijgen. Deze waardes zijn gehaald uit de debietmetingen van EBM pabst.</t>
        </r>
      </text>
    </comment>
    <comment ref="BK16" authorId="0" shapeId="0" xr:uid="{00000000-0006-0000-0100-00003D000000}">
      <text>
        <r>
          <rPr>
            <b/>
            <sz val="9"/>
            <color indexed="81"/>
            <rFont val="Tahoma"/>
            <family val="2"/>
          </rPr>
          <t>Thomas Henson:</t>
        </r>
        <r>
          <rPr>
            <sz val="9"/>
            <color indexed="81"/>
            <rFont val="Tahoma"/>
            <family val="2"/>
          </rPr>
          <t xml:space="preserve">
richtingscoëfficiënten van meerdegraadscurves van het vermogen afhankelijk van luchtdebiet.</t>
        </r>
      </text>
    </comment>
    <comment ref="CO16" authorId="0" shapeId="0" xr:uid="{00000000-0006-0000-0100-00003E000000}">
      <text>
        <r>
          <rPr>
            <b/>
            <sz val="9"/>
            <color indexed="81"/>
            <rFont val="Tahoma"/>
            <family val="2"/>
          </rPr>
          <t>Thomas Henson:</t>
        </r>
        <r>
          <rPr>
            <sz val="9"/>
            <color indexed="81"/>
            <rFont val="Tahoma"/>
            <family val="2"/>
          </rPr>
          <t xml:space="preserve">
richtingscoëfficiënten van meerdegraadscurves van het uitgaande luchtdebiet afhankelijk van aangelegde ventilatorspanning EN tegendruk.</t>
        </r>
      </text>
    </comment>
    <comment ref="CT16" authorId="0" shapeId="0" xr:uid="{00000000-0006-0000-0100-00003F000000}">
      <text>
        <r>
          <rPr>
            <b/>
            <sz val="9"/>
            <color indexed="81"/>
            <rFont val="Tahoma"/>
            <family val="2"/>
          </rPr>
          <t>Thomas Henson:</t>
        </r>
        <r>
          <rPr>
            <sz val="9"/>
            <color indexed="81"/>
            <rFont val="Tahoma"/>
            <family val="2"/>
          </rPr>
          <t xml:space="preserve">
richtingscoëfficiënten van meerdegraadscurves die het electrisch vermogen beschrijven ifv het luchtdebiet.</t>
        </r>
      </text>
    </comment>
    <comment ref="DB16" authorId="0" shapeId="0" xr:uid="{00000000-0006-0000-0100-000040000000}">
      <text>
        <r>
          <rPr>
            <b/>
            <sz val="9"/>
            <color indexed="81"/>
            <rFont val="Tahoma"/>
            <family val="2"/>
          </rPr>
          <t>Thomas Henson:</t>
        </r>
        <r>
          <rPr>
            <sz val="9"/>
            <color indexed="81"/>
            <rFont val="Tahoma"/>
            <family val="2"/>
          </rPr>
          <t xml:space="preserve">
richtingscoëfficiënten van meerdegraadscurves van het uitgaande luchtdebiet afhankelijk van aangelegde ventilatorspanning EN tegendruk.</t>
        </r>
      </text>
    </comment>
    <comment ref="DH16" authorId="0" shapeId="0" xr:uid="{00000000-0006-0000-0100-000041000000}">
      <text>
        <r>
          <rPr>
            <b/>
            <sz val="9"/>
            <color indexed="81"/>
            <rFont val="Tahoma"/>
            <family val="2"/>
          </rPr>
          <t>Thomas Henson:</t>
        </r>
        <r>
          <rPr>
            <sz val="9"/>
            <color indexed="81"/>
            <rFont val="Tahoma"/>
            <family val="2"/>
          </rPr>
          <t xml:space="preserve">
richtingscoëfficiënten van meerdegraadscurves die het electrisch vermogen beschrijven ifv het luchtdebiet.</t>
        </r>
      </text>
    </comment>
    <comment ref="DQ16" authorId="0" shapeId="0" xr:uid="{00000000-0006-0000-0100-000042000000}">
      <text>
        <r>
          <rPr>
            <b/>
            <sz val="9"/>
            <color indexed="81"/>
            <rFont val="Tahoma"/>
            <family val="2"/>
          </rPr>
          <t>Thomas Henson:</t>
        </r>
        <r>
          <rPr>
            <sz val="9"/>
            <color indexed="81"/>
            <rFont val="Tahoma"/>
            <family val="2"/>
          </rPr>
          <t xml:space="preserve">
richtingscoëfficiënten van meerdegraadscurves van het uitgaande luchtdebiet afhankelijk van aangelegde ventilatorspanning EN tegendruk.</t>
        </r>
      </text>
    </comment>
    <comment ref="DV16" authorId="0" shapeId="0" xr:uid="{00000000-0006-0000-0100-000043000000}">
      <text>
        <r>
          <rPr>
            <b/>
            <sz val="9"/>
            <color indexed="81"/>
            <rFont val="Tahoma"/>
            <family val="2"/>
          </rPr>
          <t>Thomas Henson:</t>
        </r>
        <r>
          <rPr>
            <sz val="9"/>
            <color indexed="81"/>
            <rFont val="Tahoma"/>
            <family val="2"/>
          </rPr>
          <t xml:space="preserve">
richtingscoëfficiënten van meerdegraadscurves die het electrisch vermogen beschrijven ifv het luchtdebiet.</t>
        </r>
      </text>
    </comment>
    <comment ref="ED16" authorId="0" shapeId="0" xr:uid="{00000000-0006-0000-0100-000044000000}">
      <text>
        <r>
          <rPr>
            <b/>
            <sz val="9"/>
            <color indexed="81"/>
            <rFont val="Tahoma"/>
            <family val="2"/>
          </rPr>
          <t>Thomas Henson:</t>
        </r>
        <r>
          <rPr>
            <sz val="9"/>
            <color indexed="81"/>
            <rFont val="Tahoma"/>
            <family val="2"/>
          </rPr>
          <t xml:space="preserve">
richtingscoëfficiënten van meerdegraadscurves van het uitgaande luchtdebiet afhankelijk van aangelegde ventilatorspanning EN tegendruk.</t>
        </r>
      </text>
    </comment>
    <comment ref="EJ16" authorId="0" shapeId="0" xr:uid="{00000000-0006-0000-0100-000045000000}">
      <text>
        <r>
          <rPr>
            <b/>
            <sz val="9"/>
            <color indexed="81"/>
            <rFont val="Tahoma"/>
            <family val="2"/>
          </rPr>
          <t>Thomas Henson:</t>
        </r>
        <r>
          <rPr>
            <sz val="9"/>
            <color indexed="81"/>
            <rFont val="Tahoma"/>
            <family val="2"/>
          </rPr>
          <t xml:space="preserve">
richtingscoëfficiënten van meerdegraadscurves die het electrisch vermogen beschrijven ifv het luchtdebiet.</t>
        </r>
      </text>
    </comment>
    <comment ref="FK16" authorId="0" shapeId="0" xr:uid="{00000000-0006-0000-0100-000046000000}">
      <text>
        <r>
          <rPr>
            <b/>
            <sz val="9"/>
            <color indexed="81"/>
            <rFont val="Tahoma"/>
            <family val="2"/>
          </rPr>
          <t>Thomas Henson:</t>
        </r>
        <r>
          <rPr>
            <sz val="9"/>
            <color indexed="81"/>
            <rFont val="Tahoma"/>
            <family val="2"/>
          </rPr>
          <t xml:space="preserve">
procentuele factor die de uitblaaslucht van Br22HP beÏnvloed vanwege zeer hoog luchtdebiet over warmtewisselaar.</t>
        </r>
      </text>
    </comment>
    <comment ref="FL16" authorId="0" shapeId="0" xr:uid="{00000000-0006-0000-0100-000047000000}">
      <text>
        <r>
          <rPr>
            <b/>
            <sz val="9"/>
            <color indexed="81"/>
            <rFont val="Tahoma"/>
            <family val="2"/>
          </rPr>
          <t>Thomas Henson:</t>
        </r>
        <r>
          <rPr>
            <sz val="9"/>
            <color indexed="81"/>
            <rFont val="Tahoma"/>
            <family val="2"/>
          </rPr>
          <t xml:space="preserve">
procentuele factor die de uitblaaslucht van Br26HP beÏnvloed vanwege zeer hoog luchtdebiet over warmtewisselaar.</t>
        </r>
      </text>
    </comment>
    <comment ref="FM16" authorId="0" shapeId="0" xr:uid="{00000000-0006-0000-0100-000048000000}">
      <text>
        <r>
          <rPr>
            <b/>
            <sz val="9"/>
            <color indexed="81"/>
            <rFont val="Tahoma"/>
            <family val="2"/>
          </rPr>
          <t xml:space="preserve">Thomas Henson:
</t>
        </r>
        <r>
          <rPr>
            <sz val="9"/>
            <color indexed="81"/>
            <rFont val="Tahoma"/>
            <family val="2"/>
          </rPr>
          <t>Deze waarde geeft weer op hoeveel procent van het maximale HP luchtdebiet het toestel in deze toestand werkt.</t>
        </r>
      </text>
    </comment>
    <comment ref="FN16" authorId="0" shapeId="0" xr:uid="{00000000-0006-0000-0100-000049000000}">
      <text>
        <r>
          <rPr>
            <b/>
            <sz val="9"/>
            <color indexed="81"/>
            <rFont val="Tahoma"/>
            <family val="2"/>
          </rPr>
          <t>Thomas Henson:</t>
        </r>
        <r>
          <rPr>
            <sz val="9"/>
            <color indexed="81"/>
            <rFont val="Tahoma"/>
            <family val="2"/>
          </rPr>
          <t xml:space="preserve">
Maximale standard luchtdebiet</t>
        </r>
      </text>
    </comment>
    <comment ref="FO16" authorId="0" shapeId="0" xr:uid="{00000000-0006-0000-0100-00004A000000}">
      <text>
        <r>
          <rPr>
            <b/>
            <sz val="9"/>
            <color indexed="81"/>
            <rFont val="Tahoma"/>
            <family val="2"/>
          </rPr>
          <t>Thomas Henson:</t>
        </r>
        <r>
          <rPr>
            <sz val="9"/>
            <color indexed="81"/>
            <rFont val="Tahoma"/>
            <family val="2"/>
          </rPr>
          <t xml:space="preserve">
Maximale HP luchtdebiet</t>
        </r>
      </text>
    </comment>
    <comment ref="FP16" authorId="0" shapeId="0" xr:uid="{00000000-0006-0000-0100-00004B000000}">
      <text>
        <r>
          <rPr>
            <b/>
            <sz val="9"/>
            <color indexed="81"/>
            <rFont val="Tahoma"/>
            <family val="2"/>
          </rPr>
          <t>Thomas Henson:</t>
        </r>
        <r>
          <rPr>
            <sz val="9"/>
            <color indexed="81"/>
            <rFont val="Tahoma"/>
            <family val="2"/>
          </rPr>
          <t xml:space="preserve">
Corresponding air flow percentage (V/V,max). 
Deze waarde is van belang omdat we aan de hand hiervan weten of we het luchtdebiet te hoog is om te veronderstellen dat de uitgeblazen lucht gelijik is aan de gemiddelde watertemperatuur.</t>
        </r>
      </text>
    </comment>
    <comment ref="FQ16" authorId="0" shapeId="0" xr:uid="{00000000-0006-0000-0100-00004C000000}">
      <text>
        <r>
          <rPr>
            <b/>
            <sz val="9"/>
            <color indexed="81"/>
            <rFont val="Tahoma"/>
            <family val="2"/>
          </rPr>
          <t>Thomas Henson:</t>
        </r>
        <r>
          <rPr>
            <sz val="9"/>
            <color indexed="81"/>
            <rFont val="Tahoma"/>
            <family val="2"/>
          </rPr>
          <t xml:space="preserve">
Luchtdebiet dat in deze toestand over de warmtewisselaar passeert.</t>
        </r>
      </text>
    </comment>
    <comment ref="FR16" authorId="0" shapeId="0" xr:uid="{00000000-0006-0000-0100-00004D000000}">
      <text>
        <r>
          <rPr>
            <b/>
            <sz val="9"/>
            <color indexed="81"/>
            <rFont val="Tahoma"/>
            <family val="2"/>
          </rPr>
          <t>Thomas Henson:</t>
        </r>
        <r>
          <rPr>
            <sz val="9"/>
            <color indexed="81"/>
            <rFont val="Tahoma"/>
            <family val="2"/>
          </rPr>
          <t xml:space="preserve">
Verschil tussen werkpunt en kantelpunt.</t>
        </r>
      </text>
    </comment>
    <comment ref="FS16" authorId="0" shapeId="0" xr:uid="{00000000-0006-0000-0100-00004E000000}">
      <text>
        <r>
          <rPr>
            <b/>
            <sz val="9"/>
            <color indexed="81"/>
            <rFont val="Tahoma"/>
            <family val="2"/>
          </rPr>
          <t>Thomas Henson:</t>
        </r>
        <r>
          <rPr>
            <sz val="9"/>
            <color indexed="81"/>
            <rFont val="Tahoma"/>
            <family val="2"/>
          </rPr>
          <t xml:space="preserve">
Verschil tussen maximaal HP luchtdebiet en kantelpunt.</t>
        </r>
      </text>
    </comment>
    <comment ref="GC16" authorId="0" shapeId="0" xr:uid="{00000000-0006-0000-0100-00004F000000}">
      <text>
        <r>
          <rPr>
            <b/>
            <sz val="9"/>
            <color indexed="81"/>
            <rFont val="Tahoma"/>
            <family val="2"/>
          </rPr>
          <t>Thomas Henson:</t>
        </r>
        <r>
          <rPr>
            <sz val="9"/>
            <color indexed="81"/>
            <rFont val="Tahoma"/>
            <family val="2"/>
          </rPr>
          <t xml:space="preserve">
De kanteltemperatuur is de temperatuur waarbij er zich condensvorming voordoet wanneer de uitblaastemperatuur hieronder zit.</t>
        </r>
      </text>
    </comment>
    <comment ref="GE16" authorId="0" shapeId="0" xr:uid="{00000000-0006-0000-0100-000050000000}">
      <text>
        <r>
          <rPr>
            <b/>
            <sz val="9"/>
            <color indexed="81"/>
            <rFont val="Tahoma"/>
            <family val="2"/>
          </rPr>
          <t>Thomas Henson:</t>
        </r>
        <r>
          <rPr>
            <sz val="9"/>
            <color indexed="81"/>
            <rFont val="Tahoma"/>
            <family val="2"/>
          </rPr>
          <t xml:space="preserve">
Ter controle, geen meerwaarde aan berekeningen.</t>
        </r>
      </text>
    </comment>
    <comment ref="HM16" authorId="0" shapeId="0" xr:uid="{353343DD-D9E4-4F3B-8ACF-E0BA8008BCCA}">
      <text>
        <r>
          <rPr>
            <b/>
            <sz val="9"/>
            <color indexed="81"/>
            <rFont val="Tahoma"/>
            <family val="2"/>
          </rPr>
          <t>Thomas Henson:</t>
        </r>
        <r>
          <rPr>
            <sz val="9"/>
            <color indexed="81"/>
            <rFont val="Tahoma"/>
            <family val="2"/>
          </rPr>
          <t xml:space="preserve">
procentuele factor die de uitblaaslucht van Br22HP beÏnvloed vanwege zeer hoog luchtdebiet over warmtewisselaar.</t>
        </r>
      </text>
    </comment>
    <comment ref="HN16" authorId="0" shapeId="0" xr:uid="{2453B30D-8C09-4AA0-8F37-F52B6932C12A}">
      <text>
        <r>
          <rPr>
            <b/>
            <sz val="9"/>
            <color indexed="81"/>
            <rFont val="Tahoma"/>
            <family val="2"/>
          </rPr>
          <t>Thomas Henson:</t>
        </r>
        <r>
          <rPr>
            <sz val="9"/>
            <color indexed="81"/>
            <rFont val="Tahoma"/>
            <family val="2"/>
          </rPr>
          <t xml:space="preserve">
procentuele factor die de uitblaaslucht van Br26HP beÏnvloed vanwege zeer hoog luchtdebiet over warmtewisselaar.</t>
        </r>
      </text>
    </comment>
    <comment ref="HO16" authorId="0" shapeId="0" xr:uid="{9064815C-4C86-4DE9-B671-7683A081D81E}">
      <text>
        <r>
          <rPr>
            <b/>
            <sz val="9"/>
            <color indexed="81"/>
            <rFont val="Tahoma"/>
            <family val="2"/>
          </rPr>
          <t xml:space="preserve">Thomas Henson:
</t>
        </r>
        <r>
          <rPr>
            <sz val="9"/>
            <color indexed="81"/>
            <rFont val="Tahoma"/>
            <family val="2"/>
          </rPr>
          <t>Deze waarde geeft weer op hoeveel procent van het maximale HP luchtdebiet het toestel in deze toestand werkt.</t>
        </r>
      </text>
    </comment>
    <comment ref="HP16" authorId="0" shapeId="0" xr:uid="{51F97750-4F51-4A08-B83F-34F309CC4516}">
      <text>
        <r>
          <rPr>
            <b/>
            <sz val="9"/>
            <color indexed="81"/>
            <rFont val="Tahoma"/>
            <family val="2"/>
          </rPr>
          <t>Thomas Henson:</t>
        </r>
        <r>
          <rPr>
            <sz val="9"/>
            <color indexed="81"/>
            <rFont val="Tahoma"/>
            <family val="2"/>
          </rPr>
          <t xml:space="preserve">
Maximale standard luchtdebiet</t>
        </r>
      </text>
    </comment>
    <comment ref="HQ16" authorId="0" shapeId="0" xr:uid="{7F66C1C8-CB70-4C6E-A7CD-8C5F6B61C248}">
      <text>
        <r>
          <rPr>
            <b/>
            <sz val="9"/>
            <color indexed="81"/>
            <rFont val="Tahoma"/>
            <family val="2"/>
          </rPr>
          <t>Thomas Henson:</t>
        </r>
        <r>
          <rPr>
            <sz val="9"/>
            <color indexed="81"/>
            <rFont val="Tahoma"/>
            <family val="2"/>
          </rPr>
          <t xml:space="preserve">
Maximale HP luchtdebiet</t>
        </r>
      </text>
    </comment>
    <comment ref="HR16" authorId="0" shapeId="0" xr:uid="{B2D23A1A-BC46-4DA0-BD14-A7B3A5734125}">
      <text>
        <r>
          <rPr>
            <b/>
            <sz val="9"/>
            <color indexed="81"/>
            <rFont val="Tahoma"/>
            <family val="2"/>
          </rPr>
          <t>Thomas Henson:</t>
        </r>
        <r>
          <rPr>
            <sz val="9"/>
            <color indexed="81"/>
            <rFont val="Tahoma"/>
            <family val="2"/>
          </rPr>
          <t xml:space="preserve">
Corresponding air flow percentage (V/V,max). 
Deze waarde is van belang omdat we aan de hand hiervan weten of we het luchtdebiet te hoog is om te veronderstellen dat de uitgeblazen lucht gelijik is aan de gemiddelde watertemperatuur.</t>
        </r>
      </text>
    </comment>
    <comment ref="HS16" authorId="0" shapeId="0" xr:uid="{5F34A9AF-084F-4D54-A54A-8DA8A07C1AAA}">
      <text>
        <r>
          <rPr>
            <b/>
            <sz val="9"/>
            <color indexed="81"/>
            <rFont val="Tahoma"/>
            <family val="2"/>
          </rPr>
          <t>Thomas Henson:</t>
        </r>
        <r>
          <rPr>
            <sz val="9"/>
            <color indexed="81"/>
            <rFont val="Tahoma"/>
            <family val="2"/>
          </rPr>
          <t xml:space="preserve">
Luchtdebiet dat in deze toestand over de warmtewisselaar passeert.</t>
        </r>
      </text>
    </comment>
    <comment ref="HT16" authorId="0" shapeId="0" xr:uid="{E56AFF4B-F6A2-4B2B-970F-AEC2093777C9}">
      <text>
        <r>
          <rPr>
            <b/>
            <sz val="9"/>
            <color indexed="81"/>
            <rFont val="Tahoma"/>
            <family val="2"/>
          </rPr>
          <t>Thomas Henson:</t>
        </r>
        <r>
          <rPr>
            <sz val="9"/>
            <color indexed="81"/>
            <rFont val="Tahoma"/>
            <family val="2"/>
          </rPr>
          <t xml:space="preserve">
Verschil tussen werkpunt en kantelpunt.</t>
        </r>
      </text>
    </comment>
    <comment ref="HU16" authorId="0" shapeId="0" xr:uid="{FE7BB687-B343-45BF-8AA7-553A47BAF210}">
      <text>
        <r>
          <rPr>
            <b/>
            <sz val="9"/>
            <color indexed="81"/>
            <rFont val="Tahoma"/>
            <family val="2"/>
          </rPr>
          <t>Thomas Henson:</t>
        </r>
        <r>
          <rPr>
            <sz val="9"/>
            <color indexed="81"/>
            <rFont val="Tahoma"/>
            <family val="2"/>
          </rPr>
          <t xml:space="preserve">
Verschil tussen maximaal HP luchtdebiet en kantelpunt.</t>
        </r>
      </text>
    </comment>
    <comment ref="BP18" authorId="0" shapeId="0" xr:uid="{00000000-0006-0000-0100-000051000000}">
      <text>
        <r>
          <rPr>
            <b/>
            <sz val="9"/>
            <color indexed="81"/>
            <rFont val="Tahoma"/>
            <family val="2"/>
          </rPr>
          <t>Thomas Henson:</t>
        </r>
        <r>
          <rPr>
            <sz val="9"/>
            <color indexed="81"/>
            <rFont val="Tahoma"/>
            <family val="2"/>
          </rPr>
          <t xml:space="preserve">
Water side pressure loss coefficient for</t>
        </r>
        <r>
          <rPr>
            <b/>
            <sz val="9"/>
            <color indexed="81"/>
            <rFont val="Tahoma"/>
            <family val="2"/>
          </rPr>
          <t xml:space="preserve"> LARGE </t>
        </r>
        <r>
          <rPr>
            <sz val="9"/>
            <color indexed="81"/>
            <rFont val="Tahoma"/>
            <family val="2"/>
          </rPr>
          <t>heat exchanger.</t>
        </r>
      </text>
    </comment>
    <comment ref="BS18" authorId="0" shapeId="0" xr:uid="{00000000-0006-0000-0100-000052000000}">
      <text>
        <r>
          <rPr>
            <b/>
            <sz val="9"/>
            <color indexed="81"/>
            <rFont val="Tahoma"/>
            <family val="2"/>
          </rPr>
          <t>Thomas Henson:</t>
        </r>
        <r>
          <rPr>
            <sz val="9"/>
            <color indexed="81"/>
            <rFont val="Tahoma"/>
            <family val="2"/>
          </rPr>
          <t xml:space="preserve">
Water side pressure loss coefficient for </t>
        </r>
        <r>
          <rPr>
            <b/>
            <sz val="9"/>
            <color indexed="81"/>
            <rFont val="Tahoma"/>
            <family val="2"/>
          </rPr>
          <t>SMALL</t>
        </r>
        <r>
          <rPr>
            <sz val="9"/>
            <color indexed="81"/>
            <rFont val="Tahoma"/>
            <family val="2"/>
          </rPr>
          <t xml:space="preserve"> heat exchanger.</t>
        </r>
      </text>
    </comment>
    <comment ref="BP21" authorId="0" shapeId="0" xr:uid="{00000000-0006-0000-0100-000053000000}">
      <text>
        <r>
          <rPr>
            <b/>
            <sz val="9"/>
            <color indexed="81"/>
            <rFont val="Tahoma"/>
            <family val="2"/>
          </rPr>
          <t>Thomas Henson:</t>
        </r>
        <r>
          <rPr>
            <sz val="9"/>
            <color indexed="81"/>
            <rFont val="Tahoma"/>
            <family val="2"/>
          </rPr>
          <t xml:space="preserve">
Water side pressure loss coefficient for </t>
        </r>
        <r>
          <rPr>
            <b/>
            <sz val="9"/>
            <color indexed="81"/>
            <rFont val="Tahoma"/>
            <family val="2"/>
          </rPr>
          <t xml:space="preserve">LARGE </t>
        </r>
        <r>
          <rPr>
            <sz val="9"/>
            <color indexed="81"/>
            <rFont val="Tahoma"/>
            <family val="2"/>
          </rPr>
          <t>heat exchanger.</t>
        </r>
      </text>
    </comment>
    <comment ref="BS21" authorId="0" shapeId="0" xr:uid="{00000000-0006-0000-0100-000054000000}">
      <text>
        <r>
          <rPr>
            <b/>
            <sz val="9"/>
            <color indexed="81"/>
            <rFont val="Tahoma"/>
            <family val="2"/>
          </rPr>
          <t>Thomas Henson:</t>
        </r>
        <r>
          <rPr>
            <sz val="9"/>
            <color indexed="81"/>
            <rFont val="Tahoma"/>
            <family val="2"/>
          </rPr>
          <t xml:space="preserve">
Water side pressure loss coefficient for </t>
        </r>
        <r>
          <rPr>
            <b/>
            <sz val="9"/>
            <color indexed="81"/>
            <rFont val="Tahoma"/>
            <family val="2"/>
          </rPr>
          <t>LARGE</t>
        </r>
        <r>
          <rPr>
            <sz val="9"/>
            <color indexed="81"/>
            <rFont val="Tahoma"/>
            <family val="2"/>
          </rPr>
          <t xml:space="preserve"> heat exchanger.</t>
        </r>
      </text>
    </comment>
    <comment ref="M22" authorId="0" shapeId="0" xr:uid="{00000000-0006-0000-0100-000055000000}">
      <text>
        <r>
          <rPr>
            <b/>
            <sz val="9"/>
            <color indexed="81"/>
            <rFont val="Tahoma"/>
            <family val="2"/>
          </rPr>
          <t>Thomas Henson:</t>
        </r>
        <r>
          <rPr>
            <sz val="9"/>
            <color indexed="81"/>
            <rFont val="Tahoma"/>
            <family val="2"/>
          </rPr>
          <t xml:space="preserve">
Formule anders vanwege variabele is CFM ipv m³/h.</t>
        </r>
      </text>
    </comment>
    <comment ref="BP24" authorId="0" shapeId="0" xr:uid="{00000000-0006-0000-0100-000056000000}">
      <text>
        <r>
          <rPr>
            <b/>
            <sz val="9"/>
            <color indexed="81"/>
            <rFont val="Tahoma"/>
            <family val="2"/>
          </rPr>
          <t>Thomas Henson:</t>
        </r>
        <r>
          <rPr>
            <sz val="9"/>
            <color indexed="81"/>
            <rFont val="Tahoma"/>
            <family val="2"/>
          </rPr>
          <t xml:space="preserve">
Water side pressure loss coefficient for</t>
        </r>
        <r>
          <rPr>
            <b/>
            <sz val="9"/>
            <color indexed="81"/>
            <rFont val="Tahoma"/>
            <family val="2"/>
          </rPr>
          <t xml:space="preserve"> LARGE </t>
        </r>
        <r>
          <rPr>
            <sz val="9"/>
            <color indexed="81"/>
            <rFont val="Tahoma"/>
            <family val="2"/>
          </rPr>
          <t>heat exchanger.</t>
        </r>
      </text>
    </comment>
    <comment ref="BS24" authorId="0" shapeId="0" xr:uid="{00000000-0006-0000-0100-000057000000}">
      <text>
        <r>
          <rPr>
            <b/>
            <sz val="9"/>
            <color indexed="81"/>
            <rFont val="Tahoma"/>
            <family val="2"/>
          </rPr>
          <t>Thomas Henson:</t>
        </r>
        <r>
          <rPr>
            <sz val="9"/>
            <color indexed="81"/>
            <rFont val="Tahoma"/>
            <family val="2"/>
          </rPr>
          <t xml:space="preserve">
Water side pressure loss coefficient for SMALL heat exchanger.</t>
        </r>
      </text>
    </comment>
    <comment ref="M30" authorId="0" shapeId="0" xr:uid="{00000000-0006-0000-0100-000058000000}">
      <text>
        <r>
          <rPr>
            <b/>
            <sz val="9"/>
            <color indexed="81"/>
            <rFont val="Tahoma"/>
            <family val="2"/>
          </rPr>
          <t>Thomas Henson:</t>
        </r>
        <r>
          <rPr>
            <sz val="9"/>
            <color indexed="81"/>
            <rFont val="Tahoma"/>
            <family val="2"/>
          </rPr>
          <t xml:space="preserve">
Formule anders vanwege variabele is CFM ipv m³/h.</t>
        </r>
      </text>
    </comment>
    <comment ref="BP32" authorId="0" shapeId="0" xr:uid="{00000000-0006-0000-0100-000059000000}">
      <text>
        <r>
          <rPr>
            <b/>
            <sz val="9"/>
            <color indexed="81"/>
            <rFont val="Tahoma"/>
            <family val="2"/>
          </rPr>
          <t>Thomas Henson:</t>
        </r>
        <r>
          <rPr>
            <sz val="9"/>
            <color indexed="81"/>
            <rFont val="Tahoma"/>
            <family val="2"/>
          </rPr>
          <t xml:space="preserve">
Water side pressure loss coefficient for</t>
        </r>
        <r>
          <rPr>
            <b/>
            <sz val="9"/>
            <color indexed="81"/>
            <rFont val="Tahoma"/>
            <family val="2"/>
          </rPr>
          <t xml:space="preserve"> LARGE </t>
        </r>
        <r>
          <rPr>
            <sz val="9"/>
            <color indexed="81"/>
            <rFont val="Tahoma"/>
            <family val="2"/>
          </rPr>
          <t>heat exchanger.</t>
        </r>
      </text>
    </comment>
    <comment ref="BS32" authorId="0" shapeId="0" xr:uid="{00000000-0006-0000-0100-00005A000000}">
      <text>
        <r>
          <rPr>
            <b/>
            <sz val="9"/>
            <color indexed="81"/>
            <rFont val="Tahoma"/>
            <family val="2"/>
          </rPr>
          <t>Thomas Henson:</t>
        </r>
        <r>
          <rPr>
            <sz val="9"/>
            <color indexed="81"/>
            <rFont val="Tahoma"/>
            <family val="2"/>
          </rPr>
          <t xml:space="preserve">
Water side pressure loss coefficient for SMALL heat exchanger.</t>
        </r>
      </text>
    </comment>
    <comment ref="M38" authorId="0" shapeId="0" xr:uid="{00000000-0006-0000-0100-00005B000000}">
      <text>
        <r>
          <rPr>
            <b/>
            <sz val="9"/>
            <color indexed="81"/>
            <rFont val="Tahoma"/>
            <family val="2"/>
          </rPr>
          <t>Thomas Henson:</t>
        </r>
        <r>
          <rPr>
            <sz val="9"/>
            <color indexed="81"/>
            <rFont val="Tahoma"/>
            <family val="2"/>
          </rPr>
          <t xml:space="preserve">
Formule anders vanwege variabele is CFM ipv m³/h.</t>
        </r>
      </text>
    </comment>
    <comment ref="BP40" authorId="0" shapeId="0" xr:uid="{00000000-0006-0000-0100-00005C000000}">
      <text>
        <r>
          <rPr>
            <b/>
            <sz val="9"/>
            <color indexed="81"/>
            <rFont val="Tahoma"/>
            <family val="2"/>
          </rPr>
          <t>Thomas Henson:</t>
        </r>
        <r>
          <rPr>
            <sz val="9"/>
            <color indexed="81"/>
            <rFont val="Tahoma"/>
            <family val="2"/>
          </rPr>
          <t xml:space="preserve">
Water side pressure loss coefficient for</t>
        </r>
        <r>
          <rPr>
            <b/>
            <sz val="9"/>
            <color indexed="81"/>
            <rFont val="Tahoma"/>
            <family val="2"/>
          </rPr>
          <t xml:space="preserve"> LARGE </t>
        </r>
        <r>
          <rPr>
            <sz val="9"/>
            <color indexed="81"/>
            <rFont val="Tahoma"/>
            <family val="2"/>
          </rPr>
          <t>heat exchanger.</t>
        </r>
      </text>
    </comment>
    <comment ref="BS40" authorId="0" shapeId="0" xr:uid="{00000000-0006-0000-0100-00005D000000}">
      <text>
        <r>
          <rPr>
            <b/>
            <sz val="9"/>
            <color indexed="81"/>
            <rFont val="Tahoma"/>
            <family val="2"/>
          </rPr>
          <t>Thomas Henson:</t>
        </r>
        <r>
          <rPr>
            <sz val="9"/>
            <color indexed="81"/>
            <rFont val="Tahoma"/>
            <family val="2"/>
          </rPr>
          <t xml:space="preserve">
Water side pressure loss coefficient for SMALL heat exchanger.</t>
        </r>
      </text>
    </comment>
    <comment ref="BV40" authorId="0" shapeId="0" xr:uid="{00000000-0006-0000-0100-00005E000000}">
      <text>
        <r>
          <rPr>
            <b/>
            <sz val="9"/>
            <color indexed="81"/>
            <rFont val="Tahoma"/>
            <family val="2"/>
          </rPr>
          <t>Thomas Henson:</t>
        </r>
        <r>
          <rPr>
            <sz val="9"/>
            <color indexed="81"/>
            <rFont val="Tahoma"/>
            <family val="2"/>
          </rPr>
          <t xml:space="preserve">
Water side pressure loss coefficient for</t>
        </r>
        <r>
          <rPr>
            <b/>
            <sz val="9"/>
            <color indexed="81"/>
            <rFont val="Tahoma"/>
            <family val="2"/>
          </rPr>
          <t xml:space="preserve"> LARGE </t>
        </r>
        <r>
          <rPr>
            <sz val="9"/>
            <color indexed="81"/>
            <rFont val="Tahoma"/>
            <family val="2"/>
          </rPr>
          <t>heat exchanger.</t>
        </r>
      </text>
    </comment>
    <comment ref="M46" authorId="0" shapeId="0" xr:uid="{00000000-0006-0000-0100-00005F000000}">
      <text>
        <r>
          <rPr>
            <b/>
            <sz val="9"/>
            <color indexed="81"/>
            <rFont val="Tahoma"/>
            <family val="2"/>
          </rPr>
          <t>Thomas Henson:</t>
        </r>
        <r>
          <rPr>
            <sz val="9"/>
            <color indexed="81"/>
            <rFont val="Tahoma"/>
            <family val="2"/>
          </rPr>
          <t xml:space="preserve">
Formule anders vanwege variabele is CFM ipv m³/h.</t>
        </r>
      </text>
    </comment>
    <comment ref="BP48" authorId="0" shapeId="0" xr:uid="{00000000-0006-0000-0100-000060000000}">
      <text>
        <r>
          <rPr>
            <b/>
            <sz val="9"/>
            <color indexed="81"/>
            <rFont val="Tahoma"/>
            <family val="2"/>
          </rPr>
          <t>Thomas Henson:</t>
        </r>
        <r>
          <rPr>
            <sz val="9"/>
            <color indexed="81"/>
            <rFont val="Tahoma"/>
            <family val="2"/>
          </rPr>
          <t xml:space="preserve">
Water side pressure loss coefficient for</t>
        </r>
        <r>
          <rPr>
            <b/>
            <sz val="9"/>
            <color indexed="81"/>
            <rFont val="Tahoma"/>
            <family val="2"/>
          </rPr>
          <t xml:space="preserve"> LARGE </t>
        </r>
        <r>
          <rPr>
            <sz val="9"/>
            <color indexed="81"/>
            <rFont val="Tahoma"/>
            <family val="2"/>
          </rPr>
          <t>heat exchanger.</t>
        </r>
      </text>
    </comment>
    <comment ref="BS48" authorId="0" shapeId="0" xr:uid="{00000000-0006-0000-0100-000061000000}">
      <text>
        <r>
          <rPr>
            <b/>
            <sz val="9"/>
            <color indexed="81"/>
            <rFont val="Tahoma"/>
            <family val="2"/>
          </rPr>
          <t>Thomas Henson:</t>
        </r>
        <r>
          <rPr>
            <sz val="9"/>
            <color indexed="81"/>
            <rFont val="Tahoma"/>
            <family val="2"/>
          </rPr>
          <t xml:space="preserve">
Water side pressure loss coefficient for SMALL heat exchanger.</t>
        </r>
      </text>
    </comment>
    <comment ref="BV48" authorId="0" shapeId="0" xr:uid="{00000000-0006-0000-0100-000062000000}">
      <text>
        <r>
          <rPr>
            <b/>
            <sz val="9"/>
            <color indexed="81"/>
            <rFont val="Tahoma"/>
            <family val="2"/>
          </rPr>
          <t>Thomas Henson:</t>
        </r>
        <r>
          <rPr>
            <sz val="9"/>
            <color indexed="81"/>
            <rFont val="Tahoma"/>
            <family val="2"/>
          </rPr>
          <t xml:space="preserve">
Water side pressure loss coefficient for</t>
        </r>
        <r>
          <rPr>
            <b/>
            <sz val="9"/>
            <color indexed="81"/>
            <rFont val="Tahoma"/>
            <family val="2"/>
          </rPr>
          <t xml:space="preserve"> LARGE </t>
        </r>
        <r>
          <rPr>
            <sz val="9"/>
            <color indexed="81"/>
            <rFont val="Tahoma"/>
            <family val="2"/>
          </rPr>
          <t>heat exchanger.</t>
        </r>
      </text>
    </comment>
    <comment ref="M54" authorId="0" shapeId="0" xr:uid="{00000000-0006-0000-0100-000063000000}">
      <text>
        <r>
          <rPr>
            <b/>
            <sz val="9"/>
            <color indexed="81"/>
            <rFont val="Tahoma"/>
            <family val="2"/>
          </rPr>
          <t>Thomas Henson:</t>
        </r>
        <r>
          <rPr>
            <sz val="9"/>
            <color indexed="81"/>
            <rFont val="Tahoma"/>
            <family val="2"/>
          </rPr>
          <t xml:space="preserve">
Formule anders vanwege variabele is CFM ipv m³/h.</t>
        </r>
      </text>
    </comment>
    <comment ref="BP56" authorId="0" shapeId="0" xr:uid="{00000000-0006-0000-0100-000064000000}">
      <text>
        <r>
          <rPr>
            <b/>
            <sz val="9"/>
            <color indexed="81"/>
            <rFont val="Tahoma"/>
            <family val="2"/>
          </rPr>
          <t>Thomas Henson:</t>
        </r>
        <r>
          <rPr>
            <sz val="9"/>
            <color indexed="81"/>
            <rFont val="Tahoma"/>
            <family val="2"/>
          </rPr>
          <t xml:space="preserve">
Water side pressure loss coefficient for</t>
        </r>
        <r>
          <rPr>
            <b/>
            <sz val="9"/>
            <color indexed="81"/>
            <rFont val="Tahoma"/>
            <family val="2"/>
          </rPr>
          <t xml:space="preserve"> LARGE </t>
        </r>
        <r>
          <rPr>
            <sz val="9"/>
            <color indexed="81"/>
            <rFont val="Tahoma"/>
            <family val="2"/>
          </rPr>
          <t>heat exchanger.</t>
        </r>
      </text>
    </comment>
    <comment ref="BS56" authorId="0" shapeId="0" xr:uid="{00000000-0006-0000-0100-000065000000}">
      <text>
        <r>
          <rPr>
            <b/>
            <sz val="9"/>
            <color indexed="81"/>
            <rFont val="Tahoma"/>
            <family val="2"/>
          </rPr>
          <t>Thomas Henson:</t>
        </r>
        <r>
          <rPr>
            <sz val="9"/>
            <color indexed="81"/>
            <rFont val="Tahoma"/>
            <family val="2"/>
          </rPr>
          <t xml:space="preserve">
Water side pressure loss coefficient for SMALL heat exchanger.</t>
        </r>
      </text>
    </comment>
    <comment ref="BV56" authorId="0" shapeId="0" xr:uid="{00000000-0006-0000-0100-000066000000}">
      <text>
        <r>
          <rPr>
            <b/>
            <sz val="9"/>
            <color indexed="81"/>
            <rFont val="Tahoma"/>
            <family val="2"/>
          </rPr>
          <t>Thomas Henson:</t>
        </r>
        <r>
          <rPr>
            <sz val="9"/>
            <color indexed="81"/>
            <rFont val="Tahoma"/>
            <family val="2"/>
          </rPr>
          <t xml:space="preserve">
Water side pressure loss coefficient for</t>
        </r>
        <r>
          <rPr>
            <b/>
            <sz val="9"/>
            <color indexed="81"/>
            <rFont val="Tahoma"/>
            <family val="2"/>
          </rPr>
          <t xml:space="preserve"> LARGE </t>
        </r>
        <r>
          <rPr>
            <sz val="9"/>
            <color indexed="81"/>
            <rFont val="Tahoma"/>
            <family val="2"/>
          </rPr>
          <t>heat exchanger.</t>
        </r>
      </text>
    </comment>
    <comment ref="FK56" authorId="0" shapeId="0" xr:uid="{00000000-0006-0000-0100-000067000000}">
      <text>
        <r>
          <rPr>
            <b/>
            <sz val="9"/>
            <color indexed="81"/>
            <rFont val="Tahoma"/>
            <family val="2"/>
          </rPr>
          <t>Thomas Henson:</t>
        </r>
        <r>
          <rPr>
            <sz val="9"/>
            <color indexed="81"/>
            <rFont val="Tahoma"/>
            <family val="2"/>
          </rPr>
          <t xml:space="preserve">
Andere constante.
Dit blijkt zo uit extensieve meetrapporten dat het gedrag als volgt verloopt..</t>
        </r>
      </text>
    </comment>
    <comment ref="HM56" authorId="0" shapeId="0" xr:uid="{ABE75E2D-EDB2-4138-8D76-76DCCD2FA825}">
      <text>
        <r>
          <rPr>
            <b/>
            <sz val="9"/>
            <color indexed="81"/>
            <rFont val="Tahoma"/>
            <family val="2"/>
          </rPr>
          <t>Thomas Henson:</t>
        </r>
        <r>
          <rPr>
            <sz val="9"/>
            <color indexed="81"/>
            <rFont val="Tahoma"/>
            <family val="2"/>
          </rPr>
          <t xml:space="preserve">
Andere constante.
Dit blijkt zo uit extensieve meetrapporten dat het gedrag als volgt verloopt..</t>
        </r>
      </text>
    </comment>
    <comment ref="M62" authorId="0" shapeId="0" xr:uid="{00000000-0006-0000-0100-000068000000}">
      <text>
        <r>
          <rPr>
            <b/>
            <sz val="9"/>
            <color indexed="81"/>
            <rFont val="Tahoma"/>
            <family val="2"/>
          </rPr>
          <t>Thomas Henson:</t>
        </r>
        <r>
          <rPr>
            <sz val="9"/>
            <color indexed="81"/>
            <rFont val="Tahoma"/>
            <family val="2"/>
          </rPr>
          <t xml:space="preserve">
Formule anders vanwege variabele is CFM ipv m³/h.</t>
        </r>
      </text>
    </comment>
  </commentList>
</comments>
</file>

<file path=xl/sharedStrings.xml><?xml version="1.0" encoding="utf-8"?>
<sst xmlns="http://schemas.openxmlformats.org/spreadsheetml/2006/main" count="1142" uniqueCount="524">
  <si>
    <t>Heizen:</t>
  </si>
  <si>
    <t>Eingabefelder</t>
  </si>
  <si>
    <t>Temperaturen</t>
  </si>
  <si>
    <t>Auslegungsrandbedingungen</t>
  </si>
  <si>
    <t>Leistungsaufnahme [W]</t>
  </si>
  <si>
    <t>**Schallleistungspegel nach ISO 3741:2010</t>
  </si>
  <si>
    <t>***Schalldruckpegel bei angenommener Raumdämpfung von 8dB(A)</t>
  </si>
  <si>
    <t>Schalldruckpegel *** [dB(A)]</t>
  </si>
  <si>
    <t>Kühlen:</t>
  </si>
  <si>
    <t>n-value</t>
  </si>
  <si>
    <t>Verwarmen:</t>
  </si>
  <si>
    <t>Koelen:</t>
  </si>
  <si>
    <t>Geluidsdruk *** [dB(A)]</t>
  </si>
  <si>
    <t>Opgenomen elektr. vermogen [W]</t>
  </si>
  <si>
    <t>Randvoorwaarden</t>
  </si>
  <si>
    <t>**Geluidsvermogen gemeten volgens ISO 3741:2010</t>
  </si>
  <si>
    <t>Temperatures</t>
  </si>
  <si>
    <t>Heating:</t>
  </si>
  <si>
    <t>Cooling:</t>
  </si>
  <si>
    <t>Control voltage [V]</t>
  </si>
  <si>
    <t>Sound pressure *** [dB(A)]</t>
  </si>
  <si>
    <t>Electrical power [W]</t>
  </si>
  <si>
    <t>**Sound power according to ISO 3741:2010</t>
  </si>
  <si>
    <t>***Sound pressure with an assumed room damping of 8dB(A)</t>
  </si>
  <si>
    <t>Conditions</t>
  </si>
  <si>
    <t>Niveau de vitesse</t>
  </si>
  <si>
    <t>Formulary</t>
  </si>
  <si>
    <t>Formulaire</t>
  </si>
  <si>
    <t>Voltage [V]</t>
  </si>
  <si>
    <t>Refroidir:</t>
  </si>
  <si>
    <t>Pression sonore *** [dB(A)]</t>
  </si>
  <si>
    <t>Puissance absorbée [W]</t>
  </si>
  <si>
    <t>Puissance sonore ** [dB(A)]</t>
  </si>
  <si>
    <t>**Puissance sonore testé selon ISO 3741:2010</t>
  </si>
  <si>
    <t>***Pression sonore avec une atténuation ambiante du 8dB(A)</t>
  </si>
  <si>
    <t>Geluidsvermogen ** [dB(A)]</t>
  </si>
  <si>
    <t>Sound power ** [dB(A)]</t>
  </si>
  <si>
    <t>Schallleistungspegel ** [dB(A)]</t>
  </si>
  <si>
    <t>Températures</t>
  </si>
  <si>
    <t>Chauffer:</t>
  </si>
  <si>
    <t>Briza 22 4P</t>
  </si>
  <si>
    <t>Briza 22 2P</t>
  </si>
  <si>
    <t>Temp</t>
  </si>
  <si>
    <t>Ventilatorcurve</t>
  </si>
  <si>
    <t>x4</t>
  </si>
  <si>
    <t>x3</t>
  </si>
  <si>
    <t>x2</t>
  </si>
  <si>
    <t>x1</t>
  </si>
  <si>
    <t>x0</t>
  </si>
  <si>
    <t>T03</t>
  </si>
  <si>
    <t>T04</t>
  </si>
  <si>
    <t>T06</t>
  </si>
  <si>
    <t>T08</t>
  </si>
  <si>
    <t>Q_h_cal</t>
  </si>
  <si>
    <t>Q_c_cal</t>
  </si>
  <si>
    <t>dP</t>
  </si>
  <si>
    <t>p_atm</t>
  </si>
  <si>
    <t>cf_hoogte_Qtot</t>
  </si>
  <si>
    <t>h</t>
  </si>
  <si>
    <t>T10</t>
  </si>
  <si>
    <t>Powercurve</t>
  </si>
  <si>
    <t>w4</t>
  </si>
  <si>
    <t>w3</t>
  </si>
  <si>
    <t>w2</t>
  </si>
  <si>
    <t>w1</t>
  </si>
  <si>
    <t>w0</t>
  </si>
  <si>
    <t>Cooling</t>
  </si>
  <si>
    <t>Heating 2p</t>
  </si>
  <si>
    <t>Heating 4p</t>
  </si>
  <si>
    <t>n-calc</t>
  </si>
  <si>
    <t>m³/h</t>
  </si>
  <si>
    <t>p-limit</t>
  </si>
  <si>
    <t>dP_H20</t>
  </si>
  <si>
    <t>dP_H2O</t>
  </si>
  <si>
    <t>Δp hoog!</t>
  </si>
  <si>
    <t>Δp high!</t>
  </si>
  <si>
    <t>Δp hoch!</t>
  </si>
  <si>
    <t>Δp haut!</t>
  </si>
  <si>
    <t>230V</t>
  </si>
  <si>
    <t>115V</t>
  </si>
  <si>
    <t>230V-HP</t>
  </si>
  <si>
    <t>CALC</t>
  </si>
  <si>
    <t>x5</t>
  </si>
  <si>
    <t>Geluidsvermogen [dB(A)]</t>
  </si>
  <si>
    <t>T02</t>
  </si>
  <si>
    <t>Uitblaastemp,WW koeling [°C]</t>
  </si>
  <si>
    <t>Built-in</t>
  </si>
  <si>
    <t>With casing</t>
  </si>
  <si>
    <t>Flow loss casing</t>
  </si>
  <si>
    <t>Briza 26 2P</t>
  </si>
  <si>
    <t>Briza 26 4P</t>
  </si>
  <si>
    <t>BRIZA 22</t>
  </si>
  <si>
    <t>BRIZA 26</t>
  </si>
  <si>
    <t>Nederlands</t>
  </si>
  <si>
    <t>English</t>
  </si>
  <si>
    <t>Deutsch</t>
  </si>
  <si>
    <t>Français</t>
  </si>
  <si>
    <t>Inbouw</t>
  </si>
  <si>
    <t>Met omkasting</t>
  </si>
  <si>
    <t>Einbau</t>
  </si>
  <si>
    <t>Mit verkleidung</t>
  </si>
  <si>
    <t>Intégré</t>
  </si>
  <si>
    <t>Avec caisson</t>
  </si>
  <si>
    <t>Eth. Glycol</t>
  </si>
  <si>
    <t>Prop. Glycol</t>
  </si>
  <si>
    <t>Zuiver water</t>
  </si>
  <si>
    <t>Fresh water</t>
  </si>
  <si>
    <t>Eau pure</t>
  </si>
  <si>
    <t>Reines Wasser</t>
  </si>
  <si>
    <t>Choice 1</t>
  </si>
  <si>
    <t>Choice 2</t>
  </si>
  <si>
    <t>Toestel - Ventilator - Uitvoering:</t>
  </si>
  <si>
    <t>Device - Ventilator - Utilization:</t>
  </si>
  <si>
    <t>Appareil - Ventilateur - Version:</t>
  </si>
  <si>
    <t>Gerät - Lüfter - Ausfürhung:</t>
  </si>
  <si>
    <t>Selection Case</t>
  </si>
  <si>
    <t>Standard 120V (US)</t>
  </si>
  <si>
    <t>Standard 230V (EU)</t>
  </si>
  <si>
    <t>Lydtrykk *** [dB(A)]</t>
  </si>
  <si>
    <t>Lydeffekt ** [dB(A)]</t>
  </si>
  <si>
    <t>Elektrisk effekt [W]</t>
  </si>
  <si>
    <t>Kjøling:</t>
  </si>
  <si>
    <t>Temperaturer</t>
  </si>
  <si>
    <t>Varme:</t>
  </si>
  <si>
    <t>Modell:</t>
  </si>
  <si>
    <t>Δp høyt!</t>
  </si>
  <si>
    <t>Modell</t>
  </si>
  <si>
    <t>Innebygd</t>
  </si>
  <si>
    <t>Med hus</t>
  </si>
  <si>
    <t>Norsk</t>
  </si>
  <si>
    <t>Factor HP BR22</t>
  </si>
  <si>
    <t>Factor HP BR26</t>
  </si>
  <si>
    <t>Rel. vocht. gekoelde lucht [%]</t>
  </si>
  <si>
    <t>Rel. humid. cooled air [%]</t>
  </si>
  <si>
    <t>Hum. rel. air refroidi [%]</t>
  </si>
  <si>
    <t>Rel. Luftf. gekühlte Luft [%]</t>
  </si>
  <si>
    <t>Rel. fuktighet avkjølt luft [%]</t>
  </si>
  <si>
    <t>T,kantel dry,wet</t>
  </si>
  <si>
    <t>°C</t>
  </si>
  <si>
    <t>Tkantel</t>
  </si>
  <si>
    <t>Relatieve vochtigheid</t>
  </si>
  <si>
    <t>Relative humidity</t>
  </si>
  <si>
    <t>Humidité relative</t>
  </si>
  <si>
    <t>Relative Luftfeuchtigkeit</t>
  </si>
  <si>
    <t>V% (werkpunt)</t>
  </si>
  <si>
    <t>C% (kantelpunt)</t>
  </si>
  <si>
    <t>HP,max (luchtdebiet)</t>
  </si>
  <si>
    <t>V%-C% (werkpunt verschil)</t>
  </si>
  <si>
    <t>V,max-C% (maximaal verschil)</t>
  </si>
  <si>
    <t>V (werkdebiet)</t>
  </si>
  <si>
    <t>Procentueel verschil</t>
  </si>
  <si>
    <t>Standaard exhaust temp</t>
  </si>
  <si>
    <t>Nieuwe exhaust temp HP-22</t>
  </si>
  <si>
    <t>HP-22 exhaust temp ifv regime</t>
  </si>
  <si>
    <t>Verschil HP-22</t>
  </si>
  <si>
    <t>HP-26 exhaust temp ifv regime</t>
  </si>
  <si>
    <t>Verschil HP-26</t>
  </si>
  <si>
    <t>Nieuwe exhaust temp HP-26</t>
  </si>
  <si>
    <t>Selectiontool</t>
  </si>
  <si>
    <t>heizen!</t>
  </si>
  <si>
    <t>chauf.!</t>
  </si>
  <si>
    <t>refr!</t>
  </si>
  <si>
    <t>varme!</t>
  </si>
  <si>
    <t>kjøling!</t>
  </si>
  <si>
    <t>kühlen!</t>
  </si>
  <si>
    <t>Temp.</t>
  </si>
  <si>
    <t>heating!</t>
  </si>
  <si>
    <t>cooling!</t>
  </si>
  <si>
    <t>koelen!</t>
  </si>
  <si>
    <t>verw.!</t>
  </si>
  <si>
    <t>Hydronic mix:</t>
  </si>
  <si>
    <t>Hydronisch mengsel:</t>
  </si>
  <si>
    <t>Mélange hydonique:</t>
  </si>
  <si>
    <t>Wassermischung:</t>
  </si>
  <si>
    <t>Hydronisk blanding:</t>
  </si>
  <si>
    <t>Diff Qc</t>
  </si>
  <si>
    <t>Briza 22 &amp; Briza 26</t>
  </si>
  <si>
    <t>Supply water</t>
  </si>
  <si>
    <t>Return water</t>
  </si>
  <si>
    <t>Entering air (dry bulb)</t>
  </si>
  <si>
    <t>Ruimte (natte bol)</t>
  </si>
  <si>
    <t>Entering air (wet bulb)</t>
  </si>
  <si>
    <t>Retur vann</t>
  </si>
  <si>
    <t>Tur vann</t>
  </si>
  <si>
    <t>High Perform. 208/230V (US/EU)</t>
  </si>
  <si>
    <t>Altitude</t>
  </si>
  <si>
    <t>Geplaatste hoogte</t>
  </si>
  <si>
    <t>Statisch drukverlies</t>
  </si>
  <si>
    <t>Static pressure</t>
  </si>
  <si>
    <t>Platzierte Höhe</t>
  </si>
  <si>
    <t>Statischer Druckabfall</t>
  </si>
  <si>
    <t>Pression statique</t>
  </si>
  <si>
    <t>Hauteur placée</t>
  </si>
  <si>
    <t>Plassert høyde</t>
  </si>
  <si>
    <t>Statisk trykkfall</t>
  </si>
  <si>
    <t>Eenheidsstelsel</t>
  </si>
  <si>
    <t>Unit conversion</t>
  </si>
  <si>
    <t>Einheiten</t>
  </si>
  <si>
    <t>Système unitaire</t>
  </si>
  <si>
    <t>Enhetssystem</t>
  </si>
  <si>
    <t>Raum (feuchtkugel)</t>
  </si>
  <si>
    <t>Ambiante (bulbe hum.)</t>
  </si>
  <si>
    <t>Rom (tørr pære)</t>
  </si>
  <si>
    <t>Rom (våtpære)</t>
  </si>
  <si>
    <t>Español</t>
  </si>
  <si>
    <t>Mezcla de agua:</t>
  </si>
  <si>
    <t>Equipo - Ventilador - Montaje:</t>
  </si>
  <si>
    <t>Model</t>
  </si>
  <si>
    <t>Temperaturas</t>
  </si>
  <si>
    <t>Agua impulsión</t>
  </si>
  <si>
    <t>Agua retorno</t>
  </si>
  <si>
    <t>Ambiente (bulbo seco)</t>
  </si>
  <si>
    <t>Ambiente (bulbo hum.)</t>
  </si>
  <si>
    <t>Humedad relativa</t>
  </si>
  <si>
    <t>Altitud</t>
  </si>
  <si>
    <t>Convers. de unidades</t>
  </si>
  <si>
    <t>Enfriamiento:</t>
  </si>
  <si>
    <t xml:space="preserve"> Voltaje control [V]</t>
  </si>
  <si>
    <t>Calefacción:</t>
  </si>
  <si>
    <t>Presión sonora *** [dB(A)]</t>
  </si>
  <si>
    <t>Potencia sonora ** [dB(A)]</t>
  </si>
  <si>
    <t>Potencia eléctrica absorbida [W]</t>
  </si>
  <si>
    <t>Δp conductos</t>
  </si>
  <si>
    <t>Hum. relativa del aire enfriado [%]</t>
  </si>
  <si>
    <t>**Potencia sonora de acuerdo a ISO 3741:2010</t>
  </si>
  <si>
    <t>***Presión sonora asumiendo una reducción de la estancia de  8dB(A)</t>
  </si>
  <si>
    <t>(Type 02)</t>
  </si>
  <si>
    <t>(Type 03)</t>
  </si>
  <si>
    <t>(Type 04)</t>
  </si>
  <si>
    <t>(Type 06)</t>
  </si>
  <si>
    <t>(Type 08)</t>
  </si>
  <si>
    <t>(Type 10)</t>
  </si>
  <si>
    <t>hoogte</t>
  </si>
  <si>
    <t>breedte</t>
  </si>
  <si>
    <t>lengte</t>
  </si>
  <si>
    <t>height</t>
  </si>
  <si>
    <t>width</t>
  </si>
  <si>
    <t>length</t>
  </si>
  <si>
    <t>höhe</t>
  </si>
  <si>
    <t>breite</t>
  </si>
  <si>
    <t>länge</t>
  </si>
  <si>
    <t>hauteur</t>
  </si>
  <si>
    <t>largeur</t>
  </si>
  <si>
    <t>longueur</t>
  </si>
  <si>
    <t>høyde</t>
  </si>
  <si>
    <t>bredde</t>
  </si>
  <si>
    <t>lengde</t>
  </si>
  <si>
    <t>altura</t>
  </si>
  <si>
    <t>ancho</t>
  </si>
  <si>
    <t>longitud</t>
  </si>
  <si>
    <t>Δp Muy Alto!</t>
  </si>
  <si>
    <t>calefac.</t>
  </si>
  <si>
    <t>enfria.</t>
  </si>
  <si>
    <t>Empotrado</t>
  </si>
  <si>
    <t>con carcasa</t>
  </si>
  <si>
    <t>Agua dulce</t>
  </si>
  <si>
    <t>Ferskvann</t>
  </si>
  <si>
    <t>*Waardes gemeten volgens EN 1397 waarbij toestel uitgerust met G2 filter.</t>
  </si>
  <si>
    <t>*Values according to EN 1397 equipped with a G2 filter.</t>
  </si>
  <si>
    <t>*Leistungsangaben nach EN 1397 mit einem G2-filter.</t>
  </si>
  <si>
    <t>*Values according to EN 1397 met et G2-filter.</t>
  </si>
  <si>
    <t>*Testé selon EN 1397 avec un filtre G2.</t>
  </si>
  <si>
    <t>*Valores de acuerdo a EN 1397 con un filtro G2.</t>
  </si>
  <si>
    <t xml:space="preserve">Heating </t>
  </si>
  <si>
    <t xml:space="preserve">Cooling </t>
  </si>
  <si>
    <t>Patm=</t>
  </si>
  <si>
    <t>X,heat,in</t>
  </si>
  <si>
    <t>X,heat,out</t>
  </si>
  <si>
    <t>h,heat,in</t>
  </si>
  <si>
    <t>h,heat,out</t>
  </si>
  <si>
    <t>Pv,heat,in</t>
  </si>
  <si>
    <t>Pvs,heat,in</t>
  </si>
  <si>
    <t>Pv,heat,out</t>
  </si>
  <si>
    <t>Pvs,heat,out</t>
  </si>
  <si>
    <t>RH,heat,out</t>
  </si>
  <si>
    <t>Pvs,cool,in</t>
  </si>
  <si>
    <t>Pvs,cool,out</t>
  </si>
  <si>
    <t>Pv,cool,in</t>
  </si>
  <si>
    <t>Pv,cool,out</t>
  </si>
  <si>
    <t>X,cool,in</t>
  </si>
  <si>
    <t>X,cool,out</t>
  </si>
  <si>
    <t>h,cool,in</t>
  </si>
  <si>
    <t>h,cool,out</t>
  </si>
  <si>
    <t>T,wb,cool,in</t>
  </si>
  <si>
    <t>h,cool,out,BLOW</t>
  </si>
  <si>
    <t>X,cool,out,BLOW</t>
  </si>
  <si>
    <t>Pv,cool,out,BLOW</t>
  </si>
  <si>
    <t>***Geluidsdruk bij een aangenomen ruimtedemping van 8 dB(A).</t>
  </si>
  <si>
    <t>****Berekende RV vlak na de warmtewisselaar, verondersteld met een plaatsonafhankelijke oppervlaktetemperatuur.</t>
  </si>
  <si>
    <t>****Calculated RH directly after the heat exchanger, assumed with a location-independent surface temperature.</t>
  </si>
  <si>
    <t>****Berechnete relative Luftfeuchtigkeit unmittelbar nach dem Wärmetauscher, angenommen mit einer ortsunabhängigen Oberflächentemperatur.</t>
  </si>
  <si>
    <t>****HR calculée immédiatement après l'échangeur de chaleur, supposée avec une température de surface indépendante de l'emplacement.</t>
  </si>
  <si>
    <t>****Beregnet RH umiddelbart etter varmeveksleren, antatt med en stedsuavhengig overflatetemperatur.</t>
  </si>
  <si>
    <t>****HR calculada inmediatamente después del intercambiador de calor, asumido con una temperatura de superficie independiente de la ubicación.</t>
  </si>
  <si>
    <t>Standard,max (luchtdebiet)</t>
  </si>
  <si>
    <t>Factor Standard BR22</t>
  </si>
  <si>
    <t>Relativ fuktighet</t>
  </si>
  <si>
    <t>Rotatiefrequentie ventilator [toeren/minuut]</t>
  </si>
  <si>
    <t>fan rotation frequency [revolutions/minute]</t>
  </si>
  <si>
    <t>Lüfterdrehfrequenz [Umdreh./Minute]</t>
  </si>
  <si>
    <t>fréquence de rotation du ventilateur [rotations/minute]</t>
  </si>
  <si>
    <t>vifte rotasjonsfrekvens [rotasjoner/minutt]</t>
  </si>
  <si>
    <t>frecuencia de rotación del ventilador [rotaciones/minuto]</t>
  </si>
  <si>
    <t>z2</t>
  </si>
  <si>
    <t>z1</t>
  </si>
  <si>
    <t>z0</t>
  </si>
  <si>
    <t>Toerental</t>
  </si>
  <si>
    <t>Gekende variabelen</t>
  </si>
  <si>
    <t>Known variables</t>
  </si>
  <si>
    <t>Bekannte Variablen</t>
  </si>
  <si>
    <t>Variables connues</t>
  </si>
  <si>
    <t>Kjente variabler</t>
  </si>
  <si>
    <t>Variables conocidas</t>
  </si>
  <si>
    <t>BPF</t>
  </si>
  <si>
    <t>Casing added height</t>
  </si>
  <si>
    <t>mm</t>
  </si>
  <si>
    <t>Casing added width</t>
  </si>
  <si>
    <t>Casing added length</t>
  </si>
  <si>
    <t>115V-HP</t>
  </si>
  <si>
    <t>230HP</t>
  </si>
  <si>
    <t>115HP</t>
  </si>
  <si>
    <t>Gewenst debiet</t>
  </si>
  <si>
    <t>Te berekenen op</t>
  </si>
  <si>
    <t>Desired flow rate</t>
  </si>
  <si>
    <t>To calculate on</t>
  </si>
  <si>
    <t>Gewünschte Durchflussmenge</t>
  </si>
  <si>
    <t>Um zu berechnen</t>
  </si>
  <si>
    <t>Débit souhaité</t>
  </si>
  <si>
    <t>Pour calculer sur</t>
  </si>
  <si>
    <t>Ønsket strømningshastighet</t>
  </si>
  <si>
    <t>Å beregne på</t>
  </si>
  <si>
    <t>Caudal deseado</t>
  </si>
  <si>
    <t>Para calcular en</t>
  </si>
  <si>
    <t>120V (US) - LOW FLOW</t>
  </si>
  <si>
    <t>Briza heeft meerdere inlaat- en uitlaatvariaties voor de luchtdoorstroming. Bezoek onze website voor meer informatie.</t>
  </si>
  <si>
    <t>Briza has multiple airflow supply and return air connection options. Visit our website for more information.</t>
  </si>
  <si>
    <t>Briza hat mehrere Einlass- und Auslassvarianten für den Luftstrom. Besuchen Sie unsere Website für weitere Informationen.</t>
  </si>
  <si>
    <t>Briza a de multiples variations d'admission et d'échappement. Visitez notre site web pour plus d'informations.</t>
  </si>
  <si>
    <t>Briza har flere luftmengdeinntak og eksosvariasjoner. Besøk vår hjemmeside for mer informasjon.</t>
  </si>
  <si>
    <t>Briza tiene múltiples opciones de entrada y salida de aire. Visita nuestro sitio web para más información.</t>
  </si>
  <si>
    <t>Ceiling model</t>
  </si>
  <si>
    <t>Wall model</t>
  </si>
  <si>
    <t>Plafondmodel</t>
  </si>
  <si>
    <t>Muurmodel</t>
  </si>
  <si>
    <t>Modèle de plafond</t>
  </si>
  <si>
    <t>Modèle mural</t>
  </si>
  <si>
    <t>Deckenmodell</t>
  </si>
  <si>
    <t>Wandmodell</t>
  </si>
  <si>
    <t>Takmodell</t>
  </si>
  <si>
    <t>Veggmodell</t>
  </si>
  <si>
    <t>Modelo de techo</t>
  </si>
  <si>
    <t>Modelo de pared</t>
  </si>
  <si>
    <t>Bestelcode:</t>
  </si>
  <si>
    <t>Order code:</t>
  </si>
  <si>
    <t>Bestellcode:</t>
  </si>
  <si>
    <t>Code de commande:</t>
  </si>
  <si>
    <t>Ordrekode:</t>
  </si>
  <si>
    <t>Código de orden:</t>
  </si>
  <si>
    <t>Specifiek ventilatorvermogen</t>
  </si>
  <si>
    <t>Specific fan power</t>
  </si>
  <si>
    <t>Puissance de ventilateur spécifique</t>
  </si>
  <si>
    <t>Spezifische Lüfterleistung</t>
  </si>
  <si>
    <t>Spesifikk viftekraft</t>
  </si>
  <si>
    <t>Potencia de ventilador específica</t>
  </si>
  <si>
    <t>W/cube</t>
  </si>
  <si>
    <t>Svenska</t>
  </si>
  <si>
    <t>Čeština</t>
  </si>
  <si>
    <t>ExtraTaal1</t>
  </si>
  <si>
    <t>ExtraTaal2</t>
  </si>
  <si>
    <t>ExtraTaal3</t>
  </si>
  <si>
    <t>Stuurspanning [V]</t>
  </si>
  <si>
    <t>Snelheidsniveau</t>
  </si>
  <si>
    <t>Speed level</t>
  </si>
  <si>
    <t>Drehzahlstufe</t>
  </si>
  <si>
    <t>Regelspannung [V]</t>
  </si>
  <si>
    <t>Hastighet</t>
  </si>
  <si>
    <t>Styresignal [V]</t>
  </si>
  <si>
    <t>Nivel de velocidad</t>
  </si>
  <si>
    <t>Värme:</t>
  </si>
  <si>
    <t>Tillopp</t>
  </si>
  <si>
    <t>Retur</t>
  </si>
  <si>
    <t>Rum (torr)</t>
  </si>
  <si>
    <t>rel. Fuktighet</t>
  </si>
  <si>
    <t>Rum (våt)</t>
  </si>
  <si>
    <t>Utrustning - Fläkt - Montering:</t>
  </si>
  <si>
    <t>Vattenblandning:</t>
  </si>
  <si>
    <t>Kopiera all data</t>
  </si>
  <si>
    <t>SI-enheter</t>
  </si>
  <si>
    <t>Imperiella-enheter</t>
  </si>
  <si>
    <t>Kända variabler</t>
  </si>
  <si>
    <t>Önskat flöde</t>
  </si>
  <si>
    <t>Para beräknar och</t>
  </si>
  <si>
    <t>Δp kanaler</t>
  </si>
  <si>
    <t>Höjd över havet</t>
  </si>
  <si>
    <t>Fläkthastighet</t>
  </si>
  <si>
    <t>Spänning, Fläkt [V]</t>
  </si>
  <si>
    <t>Kyla:</t>
  </si>
  <si>
    <t>Ljudtryck *** [dB(A)]</t>
  </si>
  <si>
    <t>Ljudeffekt ** [dB(A)]</t>
  </si>
  <si>
    <t>Effektförbrukning [W]</t>
  </si>
  <si>
    <t>Relativ fuktighet för kyld luft [%]</t>
  </si>
  <si>
    <t>fläktens rotationsfrekvens [rotationer/minut]</t>
  </si>
  <si>
    <t>Δp Väldigt högt!</t>
  </si>
  <si>
    <t>värme</t>
  </si>
  <si>
    <t>kyla</t>
  </si>
  <si>
    <t>höjd</t>
  </si>
  <si>
    <t>djup</t>
  </si>
  <si>
    <t>längd</t>
  </si>
  <si>
    <t>Specifik fläktkraft</t>
  </si>
  <si>
    <t>Briza har flera alternativ för luftinlopp och utlopp. Besök vår hemsida för mer information.</t>
  </si>
  <si>
    <t>Väggmodell</t>
  </si>
  <si>
    <t>Beställningskod:</t>
  </si>
  <si>
    <t>*Värden enligt EN 1397 med ett G2-filter.</t>
  </si>
  <si>
    <t>**Ljudeffekt enligt ISO 3741: 2010</t>
  </si>
  <si>
    <t>***Ljudtryck med en antagen rumsdämpning på 8dB (A)</t>
  </si>
  <si>
    <t>****RH beräknas omedelbart efter värmeväxlaren, antas med en platsoberoende yttemperatur.</t>
  </si>
  <si>
    <t>Kopieer alle data</t>
  </si>
  <si>
    <t>SI-eenheden</t>
  </si>
  <si>
    <t>Imperiale-eenheden</t>
  </si>
  <si>
    <t>Copy all data</t>
  </si>
  <si>
    <t>SI-units</t>
  </si>
  <si>
    <t>Imperial-units</t>
  </si>
  <si>
    <t>Kopieren Sie alle daten</t>
  </si>
  <si>
    <t>SI-einheiten</t>
  </si>
  <si>
    <t>Imperiale-einheiten</t>
  </si>
  <si>
    <t>Copier toutes des données</t>
  </si>
  <si>
    <t>Unités-SI</t>
  </si>
  <si>
    <t>Unités-Impériales</t>
  </si>
  <si>
    <t>Kopier alle data</t>
  </si>
  <si>
    <t>Imperiale-enheter</t>
  </si>
  <si>
    <t>Copiar todos los datos</t>
  </si>
  <si>
    <t>Unidades-SI</t>
  </si>
  <si>
    <t>Unidades-Imperial</t>
  </si>
  <si>
    <t>Kopírovat všechna data</t>
  </si>
  <si>
    <t>Mezinárodní (Sl)</t>
  </si>
  <si>
    <t>Imperiální</t>
  </si>
  <si>
    <t>(Typ 02)</t>
  </si>
  <si>
    <t>(Typ 03)</t>
  </si>
  <si>
    <t>(Typ 04)</t>
  </si>
  <si>
    <t>(Typ 06)</t>
  </si>
  <si>
    <t>(Typ 08)</t>
  </si>
  <si>
    <t>(Typ 10)</t>
  </si>
  <si>
    <t>Sladká voda</t>
  </si>
  <si>
    <t>Vestavba</t>
  </si>
  <si>
    <t>s pouzdrem</t>
  </si>
  <si>
    <t>Rychlost</t>
  </si>
  <si>
    <t>Ovládací napětí [V]</t>
  </si>
  <si>
    <t>Teploty</t>
  </si>
  <si>
    <t>topení!</t>
  </si>
  <si>
    <t>chlazení!</t>
  </si>
  <si>
    <t>Převod jednotek</t>
  </si>
  <si>
    <t>Topení:</t>
  </si>
  <si>
    <t>Chlazení:</t>
  </si>
  <si>
    <t>Relativní vlhkost</t>
  </si>
  <si>
    <t>Směs vody:</t>
  </si>
  <si>
    <t>Těleso - Ventilátor - Verze:</t>
  </si>
  <si>
    <t>Výška umístění</t>
  </si>
  <si>
    <t>Statický tlak</t>
  </si>
  <si>
    <t>Známé proměnné</t>
  </si>
  <si>
    <t>Specifický výkon ventilátoru</t>
  </si>
  <si>
    <t>Frekvence otáčení ventilátoru [otáčky/minuta]</t>
  </si>
  <si>
    <t>Rel. vlhkost chlazeného vzduchu [%]</t>
  </si>
  <si>
    <t>Elektrický výkon [W]</t>
  </si>
  <si>
    <t>Akustický výkon ** [dB(A)]</t>
  </si>
  <si>
    <t>Akustický tlak *** [dB(A)]</t>
  </si>
  <si>
    <t>"Suchá" teplota vzduchu</t>
  </si>
  <si>
    <t>Teplota mokrého teploměru</t>
  </si>
  <si>
    <t>Briza má několik možností připojení nasávacího a výfukového příslušenství. Další informace najdete na našich webových stránkách.</t>
  </si>
  <si>
    <t>Stropní model</t>
  </si>
  <si>
    <t>Nástěnný model</t>
  </si>
  <si>
    <t>Objednací kód:</t>
  </si>
  <si>
    <t>Δp vysoká!</t>
  </si>
  <si>
    <t>Požadovaný průtok</t>
  </si>
  <si>
    <t>Počítat dál</t>
  </si>
  <si>
    <t>*Hodnoty podle EN 1397 s filtrem třídy G2.</t>
  </si>
  <si>
    <t>**Akustický tlak podle ISO 3741:2010</t>
  </si>
  <si>
    <t>***Akustický výkon s předpokládaným útlumem místnosti 8 dB (A).</t>
  </si>
  <si>
    <t>****Relativní vlhkost vypočítaná bezprostředně za výměníkem tepla, předpokládaná s teplotou povrchu nezávislou na místě.</t>
  </si>
  <si>
    <t>T,nb &amp; RV</t>
  </si>
  <si>
    <t>T,db &amp; RV</t>
  </si>
  <si>
    <t>T,db &amp; T,nb</t>
  </si>
  <si>
    <t>Enkel op aanvraag!</t>
  </si>
  <si>
    <t>Toestel Niet beschikbaar met omkasting!</t>
  </si>
  <si>
    <t>T,wb &amp; RH</t>
  </si>
  <si>
    <t>T,db &amp; RH</t>
  </si>
  <si>
    <t>T,db &amp; T,wb</t>
  </si>
  <si>
    <t>Only on request!</t>
  </si>
  <si>
    <t>Product not available with casing!</t>
  </si>
  <si>
    <t>T,f &amp; RH</t>
  </si>
  <si>
    <t>T,t &amp; RH</t>
  </si>
  <si>
    <t>T,t &amp; T,f</t>
  </si>
  <si>
    <t>Nur auf Anfrage!</t>
  </si>
  <si>
    <t>Product nicht mit verkleidung erhältlich!</t>
  </si>
  <si>
    <t>T,bh &amp; RH</t>
  </si>
  <si>
    <t>T,bs &amp; RH</t>
  </si>
  <si>
    <t>T,bs &amp; T,bh</t>
  </si>
  <si>
    <t>Uniquement sur demande!</t>
  </si>
  <si>
    <t>Produit non disponible avec caisson!</t>
  </si>
  <si>
    <t>T,vp &amp; RF</t>
  </si>
  <si>
    <t>T,tp &amp; RF</t>
  </si>
  <si>
    <t>T,tp &amp; T,vp</t>
  </si>
  <si>
    <t>Bare på forespørsel!</t>
  </si>
  <si>
    <t>Produktet er ikke tilgjengelig med hus!</t>
  </si>
  <si>
    <t>Solo bajo pedido!</t>
  </si>
  <si>
    <t>Producto no disponible con carcasa!</t>
  </si>
  <si>
    <t>Endast på begäran!</t>
  </si>
  <si>
    <t>Pouze na vyžádání!</t>
  </si>
  <si>
    <t>Produkt není k dispozici s pouzdrem!</t>
  </si>
  <si>
    <t>Produkten finns inte med höljet!</t>
  </si>
  <si>
    <t>Taal/Language/Sprache/Språk/Jazyk</t>
  </si>
  <si>
    <t>Výška</t>
  </si>
  <si>
    <t>Šířka</t>
  </si>
  <si>
    <t>Délka</t>
  </si>
  <si>
    <t>Briza 22 2-pipe</t>
  </si>
  <si>
    <t>v2022-09-15</t>
  </si>
  <si>
    <t>luchtdebiet op 0 PA</t>
  </si>
  <si>
    <t>sensible cooling</t>
  </si>
  <si>
    <t>HP</t>
  </si>
  <si>
    <t>Standaard</t>
  </si>
  <si>
    <t>total cooling</t>
  </si>
  <si>
    <t>percentage</t>
  </si>
  <si>
    <t>new cooling with dp</t>
  </si>
  <si>
    <t>old cooling</t>
  </si>
  <si>
    <t>v2023-01-31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</si>
</sst>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00"/>
    <numFmt numFmtId="166" formatCode="0.000"/>
    <numFmt numFmtId="167" formatCode="0.0%"/>
    <numFmt numFmtId="168" formatCode="0.00000"/>
    <numFmt numFmtId="169" formatCode="0.000000"/>
    <numFmt numFmtId="170" formatCode="0E+00"/>
  </numFmts>
  <fonts count="52" x14ac:knownFonts="1">
    <font>
      <sz val="11"/>
      <color theme="1"/>
      <name val="Calibri"/>
      <family val="2"/>
      <scheme val="minor"/>
    </font>
    <font>
      <b/>
      <sz val="11"/>
      <color theme="1"/>
      <name val="Calibri"/>
      <family val="2"/>
      <scheme val="minor"/>
    </font>
    <font>
      <sz val="8"/>
      <color theme="1"/>
      <name val="Calibri"/>
      <family val="2"/>
      <scheme val="minor"/>
    </font>
    <font>
      <b/>
      <sz val="10"/>
      <color theme="1"/>
      <name val="Calibri"/>
      <family val="2"/>
      <scheme val="minor"/>
    </font>
    <font>
      <u/>
      <sz val="11"/>
      <color theme="10"/>
      <name val="Calibri"/>
      <family val="2"/>
      <scheme val="minor"/>
    </font>
    <font>
      <u/>
      <sz val="11"/>
      <color theme="11"/>
      <name val="Calibri"/>
      <family val="2"/>
      <scheme val="minor"/>
    </font>
    <font>
      <i/>
      <sz val="11"/>
      <color theme="1"/>
      <name val="Calibri"/>
      <family val="2"/>
      <scheme val="minor"/>
    </font>
    <font>
      <i/>
      <sz val="11"/>
      <color theme="7" tint="0.79998168889431442"/>
      <name val="Calibri"/>
      <family val="2"/>
      <scheme val="minor"/>
    </font>
    <font>
      <i/>
      <sz val="11"/>
      <name val="Calibri"/>
      <family val="2"/>
      <scheme val="minor"/>
    </font>
    <font>
      <sz val="11"/>
      <name val="Calibri"/>
      <family val="2"/>
      <scheme val="minor"/>
    </font>
    <font>
      <i/>
      <sz val="9"/>
      <color theme="1"/>
      <name val="Calibri"/>
      <family val="2"/>
      <scheme val="minor"/>
    </font>
    <font>
      <b/>
      <sz val="11"/>
      <color rgb="FFFF0000"/>
      <name val="Calibri"/>
      <family val="2"/>
      <scheme val="minor"/>
    </font>
    <font>
      <b/>
      <sz val="11"/>
      <color theme="8" tint="-0.249977111117893"/>
      <name val="Calibri"/>
      <family val="2"/>
      <scheme val="minor"/>
    </font>
    <font>
      <b/>
      <sz val="11"/>
      <color theme="9" tint="-0.249977111117893"/>
      <name val="Calibri"/>
      <family val="2"/>
      <scheme val="minor"/>
    </font>
    <font>
      <b/>
      <sz val="11"/>
      <color theme="5" tint="-0.249977111117893"/>
      <name val="Calibri"/>
      <family val="2"/>
      <scheme val="minor"/>
    </font>
    <font>
      <sz val="5"/>
      <color theme="1"/>
      <name val="Calibri"/>
      <family val="2"/>
      <scheme val="minor"/>
    </font>
    <font>
      <b/>
      <sz val="8"/>
      <color theme="1"/>
      <name val="Calibri"/>
      <family val="2"/>
      <scheme val="minor"/>
    </font>
    <font>
      <sz val="7"/>
      <color theme="1"/>
      <name val="Calibri"/>
      <family val="2"/>
      <scheme val="minor"/>
    </font>
    <font>
      <sz val="11"/>
      <color theme="0"/>
      <name val="Calibri"/>
      <family val="2"/>
      <scheme val="minor"/>
    </font>
    <font>
      <sz val="9"/>
      <color theme="0"/>
      <name val="Calibri"/>
      <family val="2"/>
      <scheme val="minor"/>
    </font>
    <font>
      <sz val="9"/>
      <color theme="1"/>
      <name val="Calibri"/>
      <family val="2"/>
      <scheme val="minor"/>
    </font>
    <font>
      <sz val="9"/>
      <name val="Calibri"/>
      <family val="2"/>
      <scheme val="minor"/>
    </font>
    <font>
      <sz val="11"/>
      <color theme="1"/>
      <name val="Calibri"/>
      <family val="2"/>
      <scheme val="minor"/>
    </font>
    <font>
      <b/>
      <sz val="11"/>
      <color theme="7" tint="-0.249977111117893"/>
      <name val="Calibri"/>
      <family val="2"/>
      <scheme val="minor"/>
    </font>
    <font>
      <b/>
      <i/>
      <sz val="11"/>
      <color rgb="FFFF0000"/>
      <name val="Calibri"/>
      <family val="2"/>
      <scheme val="minor"/>
    </font>
    <font>
      <sz val="9"/>
      <color indexed="81"/>
      <name val="Tahoma"/>
      <family val="2"/>
    </font>
    <font>
      <b/>
      <sz val="9"/>
      <color indexed="81"/>
      <name val="Tahoma"/>
      <family val="2"/>
    </font>
    <font>
      <sz val="10"/>
      <color theme="1"/>
      <name val="Calibri"/>
      <family val="2"/>
      <scheme val="minor"/>
    </font>
    <font>
      <sz val="9"/>
      <color rgb="FF595959"/>
      <name val="Calibri"/>
      <family val="2"/>
      <scheme val="minor"/>
    </font>
    <font>
      <sz val="11"/>
      <color theme="1"/>
      <name val="Calibri"/>
      <family val="2"/>
    </font>
    <font>
      <sz val="11"/>
      <color theme="7" tint="-0.249977111117893"/>
      <name val="Calibri"/>
      <family val="2"/>
      <scheme val="minor"/>
    </font>
    <font>
      <sz val="11"/>
      <color theme="9" tint="-0.249977111117893"/>
      <name val="Calibri"/>
      <family val="2"/>
      <scheme val="minor"/>
    </font>
    <font>
      <sz val="11"/>
      <color theme="5" tint="-0.249977111117893"/>
      <name val="Calibri"/>
      <family val="2"/>
      <scheme val="minor"/>
    </font>
    <font>
      <sz val="11"/>
      <color rgb="FF000000"/>
      <name val="Calibri"/>
      <family val="2"/>
      <scheme val="minor"/>
    </font>
    <font>
      <sz val="10"/>
      <name val="Arial Narrow"/>
      <family val="2"/>
    </font>
    <font>
      <i/>
      <sz val="10"/>
      <color theme="1"/>
      <name val="Calibri"/>
      <family val="2"/>
      <scheme val="minor"/>
    </font>
    <font>
      <b/>
      <sz val="12"/>
      <color theme="1"/>
      <name val="Calibri"/>
      <family val="2"/>
      <scheme val="minor"/>
    </font>
    <font>
      <i/>
      <sz val="12"/>
      <color theme="1"/>
      <name val="Calibri"/>
      <family val="2"/>
      <scheme val="minor"/>
    </font>
    <font>
      <b/>
      <sz val="11"/>
      <name val="Calibri"/>
      <family val="2"/>
      <scheme val="minor"/>
    </font>
    <font>
      <b/>
      <sz val="10"/>
      <name val="Calibri"/>
      <family val="2"/>
      <scheme val="minor"/>
    </font>
    <font>
      <vertAlign val="subscript"/>
      <sz val="11"/>
      <color theme="1"/>
      <name val="Calibri"/>
      <family val="2"/>
      <scheme val="minor"/>
    </font>
    <font>
      <i/>
      <sz val="12"/>
      <name val="Calibri"/>
      <family val="2"/>
      <scheme val="minor"/>
    </font>
    <font>
      <b/>
      <i/>
      <sz val="16"/>
      <name val="Calibri"/>
      <family val="2"/>
      <scheme val="minor"/>
    </font>
    <font>
      <sz val="12"/>
      <color theme="1"/>
      <name val="Calibri"/>
      <family val="2"/>
      <scheme val="minor"/>
    </font>
    <font>
      <b/>
      <sz val="11"/>
      <color theme="1"/>
      <name val="Calibri"/>
      <family val="2"/>
    </font>
    <font>
      <sz val="8"/>
      <name val="Arial Narrow"/>
      <family val="2"/>
    </font>
    <font>
      <b/>
      <sz val="11"/>
      <color theme="4" tint="-0.249977111117893"/>
      <name val="Calibri"/>
      <family val="2"/>
      <scheme val="minor"/>
    </font>
    <font>
      <b/>
      <sz val="11"/>
      <color rgb="FF000000"/>
      <name val="Calibri"/>
      <family val="2"/>
      <scheme val="minor"/>
    </font>
    <font>
      <sz val="7"/>
      <name val="Calibri"/>
      <family val="2"/>
      <scheme val="minor"/>
    </font>
    <font>
      <sz val="8"/>
      <name val="Calibri"/>
      <family val="2"/>
      <scheme val="minor"/>
    </font>
    <font>
      <sz val="18"/>
      <color theme="1"/>
      <name val="Calibri"/>
      <family val="2"/>
      <scheme val="minor"/>
    </font>
    <font>
      <sz val="14"/>
      <color theme="1"/>
      <name val="Calibri"/>
      <family val="2"/>
      <scheme val="minor"/>
    </font>
  </fonts>
  <fills count="2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E0E0E0"/>
        <bgColor indexed="64"/>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
      <patternFill patternType="lightUp">
        <bgColor theme="0" tint="-0.14999847407452621"/>
      </patternFill>
    </fill>
    <fill>
      <patternFill patternType="lightUp">
        <bgColor theme="0"/>
      </patternFill>
    </fill>
    <fill>
      <patternFill patternType="solid">
        <fgColor rgb="FFE2E2E2"/>
        <bgColor indexed="64"/>
      </patternFill>
    </fill>
    <fill>
      <patternFill patternType="solid">
        <fgColor theme="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1"/>
        <bgColor indexed="64"/>
      </patternFill>
    </fill>
    <fill>
      <patternFill patternType="lightUp">
        <bgColor theme="1"/>
      </patternFill>
    </fill>
    <fill>
      <patternFill patternType="solid">
        <fgColor theme="5"/>
        <bgColor indexed="64"/>
      </patternFill>
    </fill>
    <fill>
      <patternFill patternType="solid">
        <fgColor theme="2" tint="-9.9978637043366805E-2"/>
        <bgColor indexed="64"/>
      </patternFill>
    </fill>
    <fill>
      <patternFill patternType="solid">
        <fgColor rgb="FFD9D9D9"/>
        <bgColor indexed="64"/>
      </patternFill>
    </fill>
    <fill>
      <patternFill patternType="solid">
        <fgColor rgb="FFFFF2CC"/>
        <bgColor indexed="64"/>
      </patternFill>
    </fill>
    <fill>
      <patternFill patternType="lightUp">
        <fgColor auto="1"/>
        <bgColor theme="0" tint="-0.14996795556505021"/>
      </patternFill>
    </fill>
    <fill>
      <patternFill patternType="solid">
        <fgColor rgb="FFF2F2F2"/>
        <bgColor indexed="64"/>
      </patternFill>
    </fill>
    <fill>
      <patternFill patternType="solid">
        <fgColor theme="3" tint="0.79998168889431442"/>
        <bgColor indexed="64"/>
      </patternFill>
    </fill>
    <fill>
      <patternFill patternType="lightUp">
        <bgColor theme="2" tint="-9.9978637043366805E-2"/>
      </patternFill>
    </fill>
    <fill>
      <patternFill patternType="solid">
        <fgColor rgb="FFFFFF00"/>
        <bgColor indexed="64"/>
      </patternFill>
    </fill>
    <fill>
      <patternFill patternType="solid">
        <fgColor rgb="FF7030A0"/>
        <bgColor indexed="64"/>
      </patternFill>
    </fill>
    <fill>
      <patternFill patternType="solid">
        <fgColor theme="0" tint="-0.34998626667073579"/>
        <bgColor indexed="64"/>
      </patternFill>
    </fill>
  </fills>
  <borders count="114">
    <border>
      <left/>
      <right/>
      <top/>
      <bottom/>
      <diagonal/>
    </border>
    <border>
      <left style="thin">
        <color auto="1"/>
      </left>
      <right style="thin">
        <color auto="1"/>
      </right>
      <top style="thin">
        <color auto="1"/>
      </top>
      <bottom style="thin">
        <color auto="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auto="1"/>
      </right>
      <top style="thin">
        <color auto="1"/>
      </top>
      <bottom style="thin">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6"/>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style="hair">
        <color theme="0" tint="-0.34998626667073579"/>
      </right>
      <top style="thin">
        <color theme="0" tint="-0.34998626667073579"/>
      </top>
      <bottom/>
      <diagonal/>
    </border>
    <border>
      <left style="hair">
        <color theme="0" tint="-0.34998626667073579"/>
      </left>
      <right style="thin">
        <color theme="0" tint="-0.34998626667073579"/>
      </right>
      <top style="thin">
        <color theme="0" tint="-0.34998626667073579"/>
      </top>
      <bottom/>
      <diagonal/>
    </border>
    <border>
      <left style="hair">
        <color theme="0" tint="-0.34998626667073579"/>
      </left>
      <right style="hair">
        <color theme="0" tint="-0.34998626667073579"/>
      </right>
      <top style="thin">
        <color theme="0" tint="-0.34998626667073579"/>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ouble">
        <color indexed="64"/>
      </bottom>
      <diagonal/>
    </border>
    <border>
      <left/>
      <right style="dotted">
        <color auto="1"/>
      </right>
      <top/>
      <bottom style="thin">
        <color auto="1"/>
      </bottom>
      <diagonal/>
    </border>
    <border>
      <left style="dotted">
        <color auto="1"/>
      </left>
      <right style="dotted">
        <color auto="1"/>
      </right>
      <top/>
      <bottom style="thin">
        <color auto="1"/>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auto="1"/>
      </bottom>
      <diagonal/>
    </border>
    <border>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theme="0" tint="-0.34998626667073579"/>
      </left>
      <right/>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hair">
        <color theme="0" tint="-0.34998626667073579"/>
      </right>
      <top style="thin">
        <color theme="0" tint="-0.249977111117893"/>
      </top>
      <bottom/>
      <diagonal/>
    </border>
    <border>
      <left style="hair">
        <color theme="0" tint="-0.34998626667073579"/>
      </left>
      <right style="thin">
        <color theme="0" tint="-0.34998626667073579"/>
      </right>
      <top style="thin">
        <color theme="0" tint="-0.249977111117893"/>
      </top>
      <bottom/>
      <diagonal/>
    </border>
    <border>
      <left style="thin">
        <color theme="0" tint="-0.34998626667073579"/>
      </left>
      <right style="hair">
        <color theme="0" tint="-0.34998626667073579"/>
      </right>
      <top style="thin">
        <color theme="0" tint="-0.249977111117893"/>
      </top>
      <bottom/>
      <diagonal/>
    </border>
    <border>
      <left style="hair">
        <color theme="0" tint="-0.34998626667073579"/>
      </left>
      <right style="hair">
        <color theme="0" tint="-0.34998626667073579"/>
      </right>
      <top style="thin">
        <color theme="0" tint="-0.249977111117893"/>
      </top>
      <bottom/>
      <diagonal/>
    </border>
    <border>
      <left style="hair">
        <color theme="0" tint="-0.34998626667073579"/>
      </left>
      <right style="thin">
        <color theme="0" tint="-0.249977111117893"/>
      </right>
      <top style="thin">
        <color theme="0" tint="-0.249977111117893"/>
      </top>
      <bottom/>
      <diagonal/>
    </border>
    <border>
      <left/>
      <right style="thin">
        <color theme="0" tint="-0.34998626667073579"/>
      </right>
      <top/>
      <bottom style="thin">
        <color theme="0" tint="-0.249977111117893"/>
      </bottom>
      <diagonal/>
    </border>
    <border>
      <left style="hair">
        <color theme="0" tint="-0.34998626667073579"/>
      </left>
      <right/>
      <top style="thin">
        <color theme="0" tint="-0.34998626667073579"/>
      </top>
      <bottom/>
      <diagonal/>
    </border>
    <border>
      <left style="hair">
        <color theme="0" tint="-0.34998626667073579"/>
      </left>
      <right/>
      <top style="thin">
        <color theme="0" tint="-0.249977111117893"/>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indexed="64"/>
      </right>
      <top/>
      <bottom style="thin">
        <color indexed="64"/>
      </bottom>
      <diagonal/>
    </border>
    <border>
      <left style="thin">
        <color auto="1"/>
      </left>
      <right/>
      <top style="double">
        <color indexed="64"/>
      </top>
      <bottom/>
      <diagonal/>
    </border>
    <border>
      <left/>
      <right style="thin">
        <color indexed="64"/>
      </right>
      <top style="double">
        <color indexed="64"/>
      </top>
      <bottom/>
      <diagonal/>
    </border>
    <border>
      <left style="double">
        <color indexed="64"/>
      </left>
      <right style="thin">
        <color indexed="64"/>
      </right>
      <top style="thin">
        <color indexed="64"/>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auto="1"/>
      </left>
      <right style="medium">
        <color indexed="64"/>
      </right>
      <top/>
      <bottom style="thin">
        <color indexed="64"/>
      </bottom>
      <diagonal/>
    </border>
    <border>
      <left style="medium">
        <color indexed="64"/>
      </left>
      <right style="thin">
        <color auto="1"/>
      </right>
      <top style="thin">
        <color indexed="64"/>
      </top>
      <bottom/>
      <diagonal/>
    </border>
    <border>
      <left style="thin">
        <color auto="1"/>
      </left>
      <right style="medium">
        <color indexed="64"/>
      </right>
      <top style="thin">
        <color indexed="64"/>
      </top>
      <bottom/>
      <diagonal/>
    </border>
    <border>
      <left/>
      <right/>
      <top style="double">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style="thin">
        <color auto="1"/>
      </bottom>
      <diagonal/>
    </border>
    <border>
      <left style="medium">
        <color indexed="64"/>
      </left>
      <right/>
      <top/>
      <bottom/>
      <diagonal/>
    </border>
    <border>
      <left style="medium">
        <color indexed="64"/>
      </left>
      <right/>
      <top style="thin">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theme="0" tint="-0.24994659260841701"/>
      </right>
      <top/>
      <bottom/>
      <diagonal/>
    </border>
    <border>
      <left/>
      <right/>
      <top style="double">
        <color indexed="64"/>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medium">
        <color indexed="64"/>
      </left>
      <right/>
      <top style="double">
        <color indexed="64"/>
      </top>
      <bottom style="thin">
        <color indexed="64"/>
      </bottom>
      <diagonal/>
    </border>
    <border>
      <left/>
      <right/>
      <top style="thin">
        <color theme="0" tint="-0.24994659260841701"/>
      </top>
      <bottom/>
      <diagonal/>
    </border>
    <border>
      <left style="thin">
        <color indexed="64"/>
      </left>
      <right/>
      <top/>
      <bottom style="thin">
        <color theme="0" tint="-0.24994659260841701"/>
      </bottom>
      <diagonal/>
    </border>
    <border>
      <left/>
      <right/>
      <top/>
      <bottom style="thin">
        <color theme="0" tint="-0.24994659260841701"/>
      </bottom>
      <diagonal/>
    </border>
    <border>
      <left style="thin">
        <color theme="2" tint="-0.24994659260841701"/>
      </left>
      <right/>
      <top style="thin">
        <color indexed="64"/>
      </top>
      <bottom/>
      <diagonal/>
    </border>
    <border>
      <left style="thin">
        <color theme="2" tint="-0.24994659260841701"/>
      </left>
      <right/>
      <top/>
      <bottom/>
      <diagonal/>
    </border>
    <border>
      <left style="thin">
        <color theme="2" tint="-0.24994659260841701"/>
      </left>
      <right/>
      <top/>
      <bottom style="thin">
        <color theme="0" tint="-0.34998626667073579"/>
      </bottom>
      <diagonal/>
    </border>
  </borders>
  <cellStyleXfs count="2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22" fillId="0" borderId="0" applyFont="0" applyFill="0" applyBorder="0" applyAlignment="0" applyProtection="0"/>
  </cellStyleXfs>
  <cellXfs count="693">
    <xf numFmtId="0" fontId="0" fillId="0" borderId="0" xfId="0"/>
    <xf numFmtId="0" fontId="1" fillId="2" borderId="0" xfId="0" applyFont="1" applyFill="1" applyProtection="1">
      <protection hidden="1"/>
    </xf>
    <xf numFmtId="0" fontId="0" fillId="2" borderId="0" xfId="0" applyFill="1" applyProtection="1">
      <protection hidden="1"/>
    </xf>
    <xf numFmtId="0" fontId="8" fillId="4" borderId="1" xfId="0" applyFont="1" applyFill="1" applyBorder="1" applyAlignment="1" applyProtection="1">
      <alignment horizontal="left"/>
      <protection hidden="1"/>
    </xf>
    <xf numFmtId="49" fontId="7" fillId="4" borderId="10" xfId="0" applyNumberFormat="1" applyFont="1" applyFill="1" applyBorder="1" applyProtection="1">
      <protection hidden="1"/>
    </xf>
    <xf numFmtId="0" fontId="6" fillId="2" borderId="0" xfId="0" applyFont="1" applyFill="1" applyProtection="1">
      <protection hidden="1"/>
    </xf>
    <xf numFmtId="0" fontId="1" fillId="3" borderId="2" xfId="0" applyFont="1" applyFill="1" applyBorder="1" applyProtection="1">
      <protection hidden="1"/>
    </xf>
    <xf numFmtId="0" fontId="0" fillId="3" borderId="3" xfId="0" applyFill="1" applyBorder="1" applyProtection="1">
      <protection hidden="1"/>
    </xf>
    <xf numFmtId="0" fontId="0" fillId="3" borderId="4" xfId="0" applyFill="1" applyBorder="1" applyProtection="1">
      <protection hidden="1"/>
    </xf>
    <xf numFmtId="0" fontId="1" fillId="3" borderId="5" xfId="0" applyFont="1" applyFill="1" applyBorder="1" applyProtection="1">
      <protection hidden="1"/>
    </xf>
    <xf numFmtId="0" fontId="0" fillId="3" borderId="0" xfId="0" applyFill="1" applyProtection="1">
      <protection hidden="1"/>
    </xf>
    <xf numFmtId="0" fontId="0" fillId="3" borderId="6" xfId="0" applyFill="1" applyBorder="1" applyProtection="1">
      <protection hidden="1"/>
    </xf>
    <xf numFmtId="0" fontId="1" fillId="3" borderId="0" xfId="0" applyFont="1" applyFill="1" applyProtection="1">
      <protection hidden="1"/>
    </xf>
    <xf numFmtId="1" fontId="0" fillId="4" borderId="1" xfId="0" applyNumberFormat="1" applyFill="1" applyBorder="1" applyAlignment="1" applyProtection="1">
      <alignment horizontal="center"/>
      <protection hidden="1"/>
    </xf>
    <xf numFmtId="0" fontId="0" fillId="3" borderId="5" xfId="0" applyFill="1" applyBorder="1" applyProtection="1">
      <protection hidden="1"/>
    </xf>
    <xf numFmtId="9" fontId="0" fillId="4" borderId="1" xfId="0" applyNumberFormat="1" applyFill="1" applyBorder="1" applyAlignment="1" applyProtection="1">
      <alignment horizontal="center"/>
      <protection hidden="1"/>
    </xf>
    <xf numFmtId="0" fontId="1" fillId="3" borderId="7" xfId="0" applyFont="1" applyFill="1" applyBorder="1" applyAlignment="1" applyProtection="1">
      <alignment horizontal="left"/>
      <protection hidden="1"/>
    </xf>
    <xf numFmtId="0" fontId="1" fillId="3" borderId="8" xfId="0" applyFont="1" applyFill="1" applyBorder="1" applyAlignment="1" applyProtection="1">
      <alignment horizontal="left"/>
      <protection hidden="1"/>
    </xf>
    <xf numFmtId="0" fontId="0" fillId="3" borderId="8" xfId="0" applyFill="1" applyBorder="1" applyProtection="1">
      <protection hidden="1"/>
    </xf>
    <xf numFmtId="0" fontId="0" fillId="3" borderId="9" xfId="0" applyFill="1" applyBorder="1" applyProtection="1">
      <protection hidden="1"/>
    </xf>
    <xf numFmtId="0" fontId="0" fillId="2" borderId="8" xfId="0" applyFill="1" applyBorder="1" applyProtection="1">
      <protection hidden="1"/>
    </xf>
    <xf numFmtId="0" fontId="1" fillId="3" borderId="2" xfId="0" applyFont="1" applyFill="1" applyBorder="1" applyAlignment="1" applyProtection="1">
      <alignment horizontal="center" vertical="center" textRotation="90" wrapText="1"/>
      <protection hidden="1"/>
    </xf>
    <xf numFmtId="0" fontId="1" fillId="3" borderId="0" xfId="0" applyFont="1" applyFill="1" applyAlignment="1" applyProtection="1">
      <alignment horizontal="center" vertical="center" textRotation="90" wrapText="1"/>
      <protection hidden="1"/>
    </xf>
    <xf numFmtId="0" fontId="1" fillId="3" borderId="3" xfId="0" applyFont="1" applyFill="1" applyBorder="1" applyAlignment="1" applyProtection="1">
      <alignment horizontal="center" vertical="center" textRotation="90" wrapText="1"/>
      <protection hidden="1"/>
    </xf>
    <xf numFmtId="0" fontId="3" fillId="3" borderId="4" xfId="0" applyFont="1" applyFill="1" applyBorder="1" applyAlignment="1" applyProtection="1">
      <alignment horizontal="center" vertical="center" textRotation="90" wrapText="1"/>
      <protection hidden="1"/>
    </xf>
    <xf numFmtId="0" fontId="3" fillId="3" borderId="0" xfId="0" applyFont="1" applyFill="1" applyAlignment="1" applyProtection="1">
      <alignment horizontal="center" vertical="center" textRotation="90" wrapText="1"/>
      <protection hidden="1"/>
    </xf>
    <xf numFmtId="0" fontId="1" fillId="3" borderId="6" xfId="0" applyFont="1" applyFill="1" applyBorder="1" applyAlignment="1" applyProtection="1">
      <alignment horizontal="center" vertical="center" textRotation="90" wrapText="1"/>
      <protection hidden="1"/>
    </xf>
    <xf numFmtId="0" fontId="1" fillId="3" borderId="4" xfId="0" applyFont="1" applyFill="1" applyBorder="1" applyAlignment="1" applyProtection="1">
      <alignment horizontal="center" vertical="center" textRotation="90" wrapText="1"/>
      <protection hidden="1"/>
    </xf>
    <xf numFmtId="0" fontId="0" fillId="2" borderId="0" xfId="0" applyFill="1" applyAlignment="1" applyProtection="1">
      <alignment horizontal="center" vertical="center" wrapText="1"/>
      <protection hidden="1"/>
    </xf>
    <xf numFmtId="9" fontId="0" fillId="2" borderId="5" xfId="0" applyNumberFormat="1" applyFill="1" applyBorder="1" applyProtection="1">
      <protection hidden="1"/>
    </xf>
    <xf numFmtId="0" fontId="0" fillId="2" borderId="0" xfId="0" applyFill="1" applyAlignment="1" applyProtection="1">
      <alignment horizontal="center" vertical="center"/>
      <protection hidden="1"/>
    </xf>
    <xf numFmtId="1" fontId="0" fillId="2" borderId="5" xfId="0" applyNumberFormat="1" applyFill="1" applyBorder="1" applyAlignment="1" applyProtection="1">
      <alignment horizontal="center" vertical="center"/>
      <protection hidden="1"/>
    </xf>
    <xf numFmtId="1" fontId="0" fillId="2" borderId="0" xfId="0" applyNumberFormat="1" applyFill="1" applyAlignment="1" applyProtection="1">
      <alignment horizontal="center" vertical="center"/>
      <protection hidden="1"/>
    </xf>
    <xf numFmtId="2" fontId="0" fillId="2" borderId="6" xfId="0" applyNumberFormat="1" applyFill="1" applyBorder="1" applyAlignment="1" applyProtection="1">
      <alignment horizontal="center" vertical="center"/>
      <protection hidden="1"/>
    </xf>
    <xf numFmtId="2" fontId="0" fillId="2" borderId="0" xfId="0" applyNumberFormat="1" applyFill="1" applyAlignment="1" applyProtection="1">
      <alignment horizontal="center" vertical="center"/>
      <protection hidden="1"/>
    </xf>
    <xf numFmtId="1" fontId="0" fillId="2" borderId="6" xfId="0" applyNumberFormat="1" applyFill="1" applyBorder="1" applyAlignment="1" applyProtection="1">
      <alignment horizontal="center" vertical="center"/>
      <protection hidden="1"/>
    </xf>
    <xf numFmtId="164" fontId="9" fillId="2" borderId="0" xfId="0" applyNumberFormat="1" applyFont="1" applyFill="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0" fillId="2" borderId="6" xfId="0" applyFill="1" applyBorder="1" applyProtection="1">
      <protection hidden="1"/>
    </xf>
    <xf numFmtId="0" fontId="0" fillId="2" borderId="9" xfId="0" applyFill="1" applyBorder="1" applyProtection="1">
      <protection hidden="1"/>
    </xf>
    <xf numFmtId="0" fontId="2" fillId="2" borderId="0" xfId="0" applyFont="1" applyFill="1" applyProtection="1">
      <protection hidden="1"/>
    </xf>
    <xf numFmtId="0" fontId="0" fillId="2" borderId="14" xfId="0" applyFill="1" applyBorder="1" applyProtection="1">
      <protection hidden="1"/>
    </xf>
    <xf numFmtId="0" fontId="2" fillId="2" borderId="0" xfId="0" applyFont="1" applyFill="1" applyAlignment="1" applyProtection="1">
      <alignment horizontal="right"/>
      <protection hidden="1"/>
    </xf>
    <xf numFmtId="9" fontId="0" fillId="2" borderId="7" xfId="0" applyNumberFormat="1" applyFill="1" applyBorder="1" applyProtection="1">
      <protection hidden="1"/>
    </xf>
    <xf numFmtId="0" fontId="0" fillId="2" borderId="8" xfId="0" applyFill="1" applyBorder="1" applyAlignment="1" applyProtection="1">
      <alignment horizontal="center" vertical="center"/>
      <protection hidden="1"/>
    </xf>
    <xf numFmtId="1" fontId="0" fillId="2" borderId="7" xfId="0" applyNumberFormat="1" applyFill="1" applyBorder="1" applyAlignment="1" applyProtection="1">
      <alignment horizontal="center" vertical="center"/>
      <protection hidden="1"/>
    </xf>
    <xf numFmtId="1" fontId="0" fillId="2" borderId="8" xfId="0" applyNumberFormat="1" applyFill="1" applyBorder="1" applyAlignment="1" applyProtection="1">
      <alignment horizontal="center" vertical="center"/>
      <protection hidden="1"/>
    </xf>
    <xf numFmtId="2" fontId="0" fillId="2" borderId="9" xfId="0" applyNumberFormat="1" applyFill="1" applyBorder="1" applyAlignment="1" applyProtection="1">
      <alignment horizontal="center" vertical="center"/>
      <protection hidden="1"/>
    </xf>
    <xf numFmtId="2" fontId="0" fillId="2" borderId="8" xfId="0" applyNumberFormat="1" applyFill="1" applyBorder="1" applyAlignment="1" applyProtection="1">
      <alignment horizontal="center" vertical="center"/>
      <protection hidden="1"/>
    </xf>
    <xf numFmtId="1" fontId="0" fillId="2" borderId="9" xfId="0" applyNumberFormat="1" applyFill="1" applyBorder="1" applyAlignment="1" applyProtection="1">
      <alignment horizontal="center" vertical="center"/>
      <protection hidden="1"/>
    </xf>
    <xf numFmtId="164" fontId="9" fillId="2" borderId="8" xfId="0" applyNumberFormat="1"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0" fillId="3" borderId="0" xfId="0" applyFill="1" applyAlignment="1" applyProtection="1">
      <alignment horizontal="left"/>
      <protection hidden="1"/>
    </xf>
    <xf numFmtId="0" fontId="29" fillId="2" borderId="0" xfId="0" applyFont="1" applyFill="1" applyProtection="1">
      <protection hidden="1"/>
    </xf>
    <xf numFmtId="0" fontId="15" fillId="2" borderId="0" xfId="0" applyFont="1" applyFill="1" applyProtection="1">
      <protection hidden="1"/>
    </xf>
    <xf numFmtId="0" fontId="20" fillId="2" borderId="0" xfId="0" applyFont="1" applyFill="1" applyProtection="1">
      <protection hidden="1"/>
    </xf>
    <xf numFmtId="0" fontId="0" fillId="2" borderId="1" xfId="0" applyFill="1" applyBorder="1" applyProtection="1">
      <protection hidden="1"/>
    </xf>
    <xf numFmtId="0" fontId="0" fillId="2" borderId="0" xfId="0" applyFill="1" applyAlignment="1" applyProtection="1">
      <alignment horizontal="center"/>
      <protection hidden="1"/>
    </xf>
    <xf numFmtId="0" fontId="1" fillId="3" borderId="0" xfId="0" applyFont="1" applyFill="1" applyAlignment="1" applyProtection="1">
      <alignment horizontal="center"/>
      <protection hidden="1"/>
    </xf>
    <xf numFmtId="166" fontId="8" fillId="3" borderId="0" xfId="0" applyNumberFormat="1" applyFont="1" applyFill="1" applyAlignment="1" applyProtection="1">
      <alignment horizontal="center"/>
      <protection hidden="1"/>
    </xf>
    <xf numFmtId="165" fontId="0" fillId="2" borderId="0" xfId="0" applyNumberFormat="1" applyFill="1" applyProtection="1">
      <protection hidden="1"/>
    </xf>
    <xf numFmtId="2" fontId="0" fillId="2" borderId="1" xfId="0" applyNumberFormat="1" applyFill="1" applyBorder="1" applyProtection="1">
      <protection hidden="1"/>
    </xf>
    <xf numFmtId="2" fontId="0" fillId="2" borderId="0" xfId="0" applyNumberFormat="1" applyFill="1" applyProtection="1">
      <protection hidden="1"/>
    </xf>
    <xf numFmtId="2" fontId="0" fillId="2" borderId="1" xfId="0" applyNumberFormat="1" applyFill="1" applyBorder="1" applyAlignment="1" applyProtection="1">
      <alignment horizontal="center"/>
      <protection hidden="1"/>
    </xf>
    <xf numFmtId="0" fontId="0" fillId="2" borderId="36" xfId="0" applyFill="1" applyBorder="1" applyProtection="1">
      <protection hidden="1"/>
    </xf>
    <xf numFmtId="9" fontId="0" fillId="2" borderId="0" xfId="23" applyFont="1" applyFill="1" applyProtection="1">
      <protection hidden="1"/>
    </xf>
    <xf numFmtId="0" fontId="1" fillId="3" borderId="33" xfId="0" applyFont="1" applyFill="1" applyBorder="1" applyAlignment="1" applyProtection="1">
      <alignment horizontal="center" vertical="center" textRotation="90" wrapText="1"/>
      <protection hidden="1"/>
    </xf>
    <xf numFmtId="0" fontId="1" fillId="3" borderId="34" xfId="0" applyFont="1" applyFill="1" applyBorder="1" applyAlignment="1" applyProtection="1">
      <alignment horizontal="center" vertical="center" textRotation="90" wrapText="1"/>
      <protection hidden="1"/>
    </xf>
    <xf numFmtId="0" fontId="11" fillId="3" borderId="33" xfId="0" applyFont="1" applyFill="1" applyBorder="1" applyAlignment="1" applyProtection="1">
      <alignment horizontal="center" vertical="center" textRotation="90" wrapText="1"/>
      <protection hidden="1"/>
    </xf>
    <xf numFmtId="0" fontId="1" fillId="3" borderId="35" xfId="0" applyFont="1" applyFill="1" applyBorder="1" applyAlignment="1" applyProtection="1">
      <alignment horizontal="center" vertical="center" textRotation="90" wrapText="1"/>
      <protection hidden="1"/>
    </xf>
    <xf numFmtId="0" fontId="3" fillId="3" borderId="34" xfId="0" applyFont="1" applyFill="1" applyBorder="1" applyAlignment="1" applyProtection="1">
      <alignment horizontal="center" vertical="center" textRotation="90" wrapText="1"/>
      <protection hidden="1"/>
    </xf>
    <xf numFmtId="0" fontId="12" fillId="3" borderId="33" xfId="0" applyFont="1" applyFill="1" applyBorder="1" applyAlignment="1" applyProtection="1">
      <alignment horizontal="center" vertical="center" textRotation="90" wrapText="1"/>
      <protection hidden="1"/>
    </xf>
    <xf numFmtId="0" fontId="12" fillId="3" borderId="35" xfId="0" applyFont="1" applyFill="1" applyBorder="1" applyAlignment="1" applyProtection="1">
      <alignment horizontal="center" vertical="center" textRotation="90" wrapText="1"/>
      <protection hidden="1"/>
    </xf>
    <xf numFmtId="0" fontId="13" fillId="3" borderId="33" xfId="0" applyFont="1" applyFill="1" applyBorder="1" applyAlignment="1" applyProtection="1">
      <alignment horizontal="center" vertical="center" textRotation="90" wrapText="1"/>
      <protection hidden="1"/>
    </xf>
    <xf numFmtId="0" fontId="13" fillId="3" borderId="34" xfId="0" applyFont="1" applyFill="1" applyBorder="1" applyAlignment="1" applyProtection="1">
      <alignment horizontal="center" vertical="center" textRotation="90" wrapText="1"/>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10" xfId="0" applyBorder="1" applyAlignment="1" applyProtection="1">
      <alignment horizontal="center"/>
      <protection hidden="1"/>
    </xf>
    <xf numFmtId="164" fontId="0" fillId="2" borderId="5" xfId="0" applyNumberFormat="1" applyFill="1" applyBorder="1" applyAlignment="1" applyProtection="1">
      <alignment horizontal="center" vertical="center"/>
      <protection hidden="1"/>
    </xf>
    <xf numFmtId="164" fontId="0" fillId="2" borderId="6" xfId="0" applyNumberFormat="1" applyFill="1" applyBorder="1" applyAlignment="1" applyProtection="1">
      <alignment horizontal="center" vertical="center"/>
      <protection hidden="1"/>
    </xf>
    <xf numFmtId="11" fontId="17" fillId="2" borderId="23" xfId="0" applyNumberFormat="1" applyFont="1" applyFill="1" applyBorder="1" applyAlignment="1" applyProtection="1">
      <alignment horizontal="center" vertical="center"/>
      <protection hidden="1"/>
    </xf>
    <xf numFmtId="11" fontId="17" fillId="2" borderId="26" xfId="0" applyNumberFormat="1" applyFont="1" applyFill="1" applyBorder="1" applyAlignment="1" applyProtection="1">
      <alignment horizontal="center" vertical="center"/>
      <protection hidden="1"/>
    </xf>
    <xf numFmtId="11" fontId="17" fillId="2" borderId="24" xfId="0" applyNumberFormat="1" applyFont="1" applyFill="1" applyBorder="1" applyAlignment="1" applyProtection="1">
      <alignment horizontal="center" vertical="center"/>
      <protection hidden="1"/>
    </xf>
    <xf numFmtId="11" fontId="17" fillId="2" borderId="27" xfId="0" applyNumberFormat="1" applyFont="1" applyFill="1" applyBorder="1" applyAlignment="1" applyProtection="1">
      <alignment horizontal="center" vertical="center"/>
      <protection hidden="1"/>
    </xf>
    <xf numFmtId="11" fontId="17" fillId="2" borderId="25" xfId="0" applyNumberFormat="1" applyFont="1" applyFill="1" applyBorder="1" applyAlignment="1" applyProtection="1">
      <alignment horizontal="center" vertical="center"/>
      <protection hidden="1"/>
    </xf>
    <xf numFmtId="11" fontId="17" fillId="2" borderId="28" xfId="0" applyNumberFormat="1" applyFont="1" applyFill="1" applyBorder="1" applyAlignment="1" applyProtection="1">
      <alignment horizontal="center" vertical="center"/>
      <protection hidden="1"/>
    </xf>
    <xf numFmtId="11" fontId="28" fillId="0" borderId="0" xfId="0" applyNumberFormat="1" applyFont="1" applyAlignment="1" applyProtection="1">
      <alignment horizontal="center" vertical="center" readingOrder="1"/>
      <protection hidden="1"/>
    </xf>
    <xf numFmtId="11" fontId="17" fillId="2" borderId="39" xfId="0" applyNumberFormat="1" applyFont="1" applyFill="1" applyBorder="1" applyAlignment="1" applyProtection="1">
      <alignment horizontal="center" vertical="center"/>
      <protection hidden="1"/>
    </xf>
    <xf numFmtId="0" fontId="0" fillId="2" borderId="37" xfId="0" applyFill="1" applyBorder="1" applyAlignment="1" applyProtection="1">
      <alignment horizontal="center"/>
      <protection hidden="1"/>
    </xf>
    <xf numFmtId="0" fontId="2" fillId="2" borderId="25" xfId="0" applyFont="1" applyFill="1" applyBorder="1" applyAlignment="1" applyProtection="1">
      <alignment horizontal="center" vertical="center" textRotation="255"/>
      <protection hidden="1"/>
    </xf>
    <xf numFmtId="0" fontId="2" fillId="2" borderId="42" xfId="0" applyFont="1" applyFill="1" applyBorder="1" applyAlignment="1" applyProtection="1">
      <alignment horizontal="center" vertical="center" textRotation="255"/>
      <protection hidden="1"/>
    </xf>
    <xf numFmtId="0" fontId="2" fillId="2" borderId="43" xfId="0" applyFont="1" applyFill="1" applyBorder="1" applyAlignment="1" applyProtection="1">
      <alignment horizontal="center" vertical="center" textRotation="255"/>
      <protection hidden="1"/>
    </xf>
    <xf numFmtId="0" fontId="27" fillId="2" borderId="36" xfId="0" applyFont="1" applyFill="1" applyBorder="1" applyAlignment="1" applyProtection="1">
      <alignment horizontal="center" vertical="center" textRotation="255" wrapText="1"/>
      <protection hidden="1"/>
    </xf>
    <xf numFmtId="0" fontId="27" fillId="8" borderId="36" xfId="0" applyFont="1" applyFill="1" applyBorder="1" applyAlignment="1" applyProtection="1">
      <alignment horizontal="center" vertical="center" textRotation="255" wrapText="1"/>
      <protection hidden="1"/>
    </xf>
    <xf numFmtId="0" fontId="0" fillId="8" borderId="36" xfId="0" applyFill="1" applyBorder="1" applyProtection="1">
      <protection hidden="1"/>
    </xf>
    <xf numFmtId="0" fontId="0" fillId="8" borderId="1" xfId="0" applyFill="1" applyBorder="1" applyProtection="1">
      <protection hidden="1"/>
    </xf>
    <xf numFmtId="2" fontId="0" fillId="8" borderId="1" xfId="0" applyNumberFormat="1" applyFill="1" applyBorder="1" applyProtection="1">
      <protection hidden="1"/>
    </xf>
    <xf numFmtId="0" fontId="17" fillId="9" borderId="1" xfId="0" applyFont="1" applyFill="1" applyBorder="1" applyAlignment="1" applyProtection="1">
      <alignment horizontal="center" vertical="center"/>
      <protection hidden="1"/>
    </xf>
    <xf numFmtId="0" fontId="2" fillId="8" borderId="25" xfId="0" applyFont="1" applyFill="1" applyBorder="1" applyAlignment="1" applyProtection="1">
      <alignment horizontal="center" vertical="center" textRotation="255"/>
      <protection hidden="1"/>
    </xf>
    <xf numFmtId="0" fontId="2" fillId="8" borderId="42" xfId="0" applyFont="1" applyFill="1" applyBorder="1" applyAlignment="1" applyProtection="1">
      <alignment horizontal="center" vertical="center" textRotation="255"/>
      <protection hidden="1"/>
    </xf>
    <xf numFmtId="0" fontId="2" fillId="8" borderId="43" xfId="0" applyFont="1" applyFill="1" applyBorder="1" applyAlignment="1" applyProtection="1">
      <alignment horizontal="center" vertical="center" textRotation="255"/>
      <protection hidden="1"/>
    </xf>
    <xf numFmtId="0" fontId="2" fillId="8" borderId="38" xfId="0" applyFont="1" applyFill="1" applyBorder="1" applyAlignment="1" applyProtection="1">
      <alignment horizontal="center" vertical="center" textRotation="255"/>
      <protection hidden="1"/>
    </xf>
    <xf numFmtId="0" fontId="2" fillId="8" borderId="40" xfId="0" applyFont="1" applyFill="1" applyBorder="1" applyAlignment="1" applyProtection="1">
      <alignment horizontal="center" vertical="center" textRotation="255"/>
      <protection hidden="1"/>
    </xf>
    <xf numFmtId="11" fontId="17" fillId="8" borderId="24" xfId="0" applyNumberFormat="1" applyFont="1" applyFill="1" applyBorder="1" applyAlignment="1" applyProtection="1">
      <alignment horizontal="center" vertical="center"/>
      <protection hidden="1"/>
    </xf>
    <xf numFmtId="11" fontId="17" fillId="8" borderId="27" xfId="0" applyNumberFormat="1" applyFont="1" applyFill="1" applyBorder="1" applyAlignment="1" applyProtection="1">
      <alignment horizontal="center" vertical="center"/>
      <protection hidden="1"/>
    </xf>
    <xf numFmtId="11" fontId="17" fillId="8" borderId="39" xfId="0" applyNumberFormat="1" applyFont="1" applyFill="1" applyBorder="1" applyAlignment="1" applyProtection="1">
      <alignment horizontal="center" vertical="center"/>
      <protection hidden="1"/>
    </xf>
    <xf numFmtId="11" fontId="17" fillId="8" borderId="40" xfId="0" applyNumberFormat="1" applyFont="1" applyFill="1" applyBorder="1" applyAlignment="1" applyProtection="1">
      <alignment horizontal="center" vertical="center"/>
      <protection hidden="1"/>
    </xf>
    <xf numFmtId="0" fontId="0" fillId="8" borderId="15" xfId="0" applyFill="1" applyBorder="1" applyAlignment="1" applyProtection="1">
      <alignment horizontal="center"/>
      <protection hidden="1"/>
    </xf>
    <xf numFmtId="0" fontId="0" fillId="8" borderId="16" xfId="0" applyFill="1" applyBorder="1" applyAlignment="1" applyProtection="1">
      <alignment horizontal="center"/>
      <protection hidden="1"/>
    </xf>
    <xf numFmtId="0" fontId="0" fillId="8" borderId="10" xfId="0" applyFill="1" applyBorder="1" applyAlignment="1" applyProtection="1">
      <alignment horizontal="center"/>
      <protection hidden="1"/>
    </xf>
    <xf numFmtId="11" fontId="0" fillId="8" borderId="37" xfId="0" applyNumberFormat="1" applyFill="1" applyBorder="1"/>
    <xf numFmtId="11" fontId="0" fillId="8" borderId="21" xfId="0" applyNumberFormat="1" applyFill="1" applyBorder="1"/>
    <xf numFmtId="11" fontId="0" fillId="8" borderId="17" xfId="0" applyNumberFormat="1" applyFill="1" applyBorder="1"/>
    <xf numFmtId="11" fontId="0" fillId="8" borderId="0" xfId="0" applyNumberFormat="1" applyFill="1"/>
    <xf numFmtId="11" fontId="0" fillId="8" borderId="19" xfId="0" applyNumberFormat="1" applyFill="1" applyBorder="1" applyProtection="1">
      <protection hidden="1"/>
    </xf>
    <xf numFmtId="11" fontId="0" fillId="8" borderId="18" xfId="0" applyNumberFormat="1" applyFill="1" applyBorder="1"/>
    <xf numFmtId="11" fontId="0" fillId="8" borderId="19" xfId="0" applyNumberFormat="1" applyFill="1" applyBorder="1"/>
    <xf numFmtId="11" fontId="0" fillId="8" borderId="38" xfId="0" applyNumberFormat="1" applyFill="1" applyBorder="1"/>
    <xf numFmtId="11" fontId="0" fillId="8" borderId="22" xfId="0" applyNumberFormat="1" applyFill="1" applyBorder="1"/>
    <xf numFmtId="11" fontId="0" fillId="8" borderId="20" xfId="0" applyNumberFormat="1" applyFill="1" applyBorder="1"/>
    <xf numFmtId="11" fontId="0" fillId="8" borderId="0" xfId="0" applyNumberFormat="1" applyFill="1" applyProtection="1">
      <protection hidden="1"/>
    </xf>
    <xf numFmtId="11" fontId="0" fillId="8" borderId="37" xfId="0" applyNumberFormat="1" applyFill="1" applyBorder="1" applyProtection="1">
      <protection hidden="1"/>
    </xf>
    <xf numFmtId="11" fontId="0" fillId="8" borderId="21" xfId="0" applyNumberFormat="1" applyFill="1" applyBorder="1" applyProtection="1">
      <protection hidden="1"/>
    </xf>
    <xf numFmtId="11" fontId="0" fillId="8" borderId="38" xfId="0" applyNumberFormat="1" applyFill="1" applyBorder="1" applyProtection="1">
      <protection hidden="1"/>
    </xf>
    <xf numFmtId="11" fontId="0" fillId="8" borderId="22" xfId="0" applyNumberFormat="1" applyFill="1" applyBorder="1" applyProtection="1">
      <protection hidden="1"/>
    </xf>
    <xf numFmtId="11" fontId="0" fillId="8" borderId="17" xfId="0" applyNumberFormat="1" applyFill="1" applyBorder="1" applyProtection="1">
      <protection hidden="1"/>
    </xf>
    <xf numFmtId="11" fontId="0" fillId="8" borderId="18" xfId="0" applyNumberFormat="1" applyFill="1" applyBorder="1" applyProtection="1">
      <protection hidden="1"/>
    </xf>
    <xf numFmtId="11" fontId="0" fillId="8" borderId="20" xfId="0" applyNumberFormat="1" applyFill="1" applyBorder="1" applyProtection="1">
      <protection hidden="1"/>
    </xf>
    <xf numFmtId="11" fontId="17" fillId="2" borderId="17" xfId="0" applyNumberFormat="1" applyFont="1" applyFill="1" applyBorder="1" applyAlignment="1" applyProtection="1">
      <alignment horizontal="center" vertical="center"/>
      <protection hidden="1"/>
    </xf>
    <xf numFmtId="11" fontId="17" fillId="2" borderId="37" xfId="0" applyNumberFormat="1" applyFont="1" applyFill="1" applyBorder="1" applyAlignment="1" applyProtection="1">
      <alignment horizontal="center" vertical="center"/>
      <protection hidden="1"/>
    </xf>
    <xf numFmtId="11" fontId="17" fillId="2" borderId="21" xfId="0" applyNumberFormat="1" applyFont="1" applyFill="1" applyBorder="1" applyAlignment="1" applyProtection="1">
      <alignment horizontal="center" vertical="center"/>
      <protection hidden="1"/>
    </xf>
    <xf numFmtId="11" fontId="17" fillId="2" borderId="18" xfId="0" applyNumberFormat="1" applyFont="1" applyFill="1" applyBorder="1" applyAlignment="1" applyProtection="1">
      <alignment horizontal="center" vertical="center"/>
      <protection hidden="1"/>
    </xf>
    <xf numFmtId="11" fontId="17" fillId="2" borderId="0" xfId="0" applyNumberFormat="1" applyFont="1" applyFill="1" applyAlignment="1" applyProtection="1">
      <alignment horizontal="center" vertical="center"/>
      <protection hidden="1"/>
    </xf>
    <xf numFmtId="11" fontId="17" fillId="2" borderId="19" xfId="0" applyNumberFormat="1" applyFont="1" applyFill="1" applyBorder="1" applyAlignment="1" applyProtection="1">
      <alignment horizontal="center" vertical="center"/>
      <protection hidden="1"/>
    </xf>
    <xf numFmtId="11" fontId="17" fillId="2" borderId="38" xfId="0" applyNumberFormat="1" applyFont="1" applyFill="1" applyBorder="1" applyAlignment="1" applyProtection="1">
      <alignment horizontal="center" vertical="center"/>
      <protection hidden="1"/>
    </xf>
    <xf numFmtId="11" fontId="17" fillId="2" borderId="22" xfId="0" applyNumberFormat="1" applyFont="1" applyFill="1" applyBorder="1" applyAlignment="1" applyProtection="1">
      <alignment horizontal="center" vertical="center"/>
      <protection hidden="1"/>
    </xf>
    <xf numFmtId="11" fontId="17" fillId="2" borderId="20" xfId="0" applyNumberFormat="1" applyFont="1" applyFill="1" applyBorder="1" applyAlignment="1" applyProtection="1">
      <alignment horizontal="center" vertical="center"/>
      <protection hidden="1"/>
    </xf>
    <xf numFmtId="0" fontId="0" fillId="2" borderId="47" xfId="0" applyFill="1" applyBorder="1" applyAlignment="1" applyProtection="1">
      <alignment horizontal="center"/>
      <protection hidden="1"/>
    </xf>
    <xf numFmtId="0" fontId="0" fillId="2" borderId="36" xfId="0" applyFill="1" applyBorder="1" applyAlignment="1" applyProtection="1">
      <alignment horizontal="center"/>
      <protection hidden="1"/>
    </xf>
    <xf numFmtId="0" fontId="1" fillId="7" borderId="46" xfId="0" applyFont="1" applyFill="1" applyBorder="1" applyAlignment="1" applyProtection="1">
      <alignment horizontal="center"/>
      <protection hidden="1"/>
    </xf>
    <xf numFmtId="0" fontId="0" fillId="2" borderId="36" xfId="0" applyFill="1" applyBorder="1" applyAlignment="1" applyProtection="1">
      <alignment horizontal="center" vertical="center" textRotation="90" wrapText="1"/>
      <protection hidden="1"/>
    </xf>
    <xf numFmtId="0" fontId="1" fillId="6" borderId="46" xfId="0" applyFont="1" applyFill="1" applyBorder="1" applyAlignment="1" applyProtection="1">
      <alignment horizontal="center"/>
      <protection hidden="1"/>
    </xf>
    <xf numFmtId="0" fontId="0" fillId="8" borderId="36" xfId="0" applyFill="1" applyBorder="1" applyAlignment="1" applyProtection="1">
      <alignment horizontal="center" vertical="center" textRotation="90" wrapText="1"/>
      <protection hidden="1"/>
    </xf>
    <xf numFmtId="0" fontId="0" fillId="8" borderId="47" xfId="0" applyFill="1" applyBorder="1" applyAlignment="1" applyProtection="1">
      <alignment horizontal="center"/>
      <protection hidden="1"/>
    </xf>
    <xf numFmtId="0" fontId="0" fillId="8" borderId="36" xfId="0" applyFill="1" applyBorder="1" applyAlignment="1" applyProtection="1">
      <alignment horizontal="center"/>
      <protection hidden="1"/>
    </xf>
    <xf numFmtId="0" fontId="9" fillId="8" borderId="47" xfId="0" applyFont="1" applyFill="1" applyBorder="1" applyAlignment="1" applyProtection="1">
      <alignment horizontal="center"/>
      <protection hidden="1"/>
    </xf>
    <xf numFmtId="1" fontId="33" fillId="2" borderId="5" xfId="0" applyNumberFormat="1" applyFont="1" applyFill="1" applyBorder="1" applyAlignment="1" applyProtection="1">
      <alignment horizontal="center" vertical="center"/>
      <protection hidden="1"/>
    </xf>
    <xf numFmtId="0" fontId="33" fillId="2" borderId="0" xfId="0" applyFont="1" applyFill="1" applyAlignment="1" applyProtection="1">
      <alignment horizontal="center" vertical="center"/>
      <protection hidden="1"/>
    </xf>
    <xf numFmtId="2" fontId="33" fillId="2" borderId="6" xfId="0" applyNumberFormat="1" applyFont="1" applyFill="1" applyBorder="1" applyAlignment="1" applyProtection="1">
      <alignment horizontal="center" vertical="center"/>
      <protection hidden="1"/>
    </xf>
    <xf numFmtId="1" fontId="33" fillId="2" borderId="0" xfId="0" applyNumberFormat="1" applyFont="1" applyFill="1" applyAlignment="1" applyProtection="1">
      <alignment horizontal="center" vertical="center"/>
      <protection hidden="1"/>
    </xf>
    <xf numFmtId="2" fontId="33" fillId="2" borderId="0" xfId="0" applyNumberFormat="1" applyFont="1" applyFill="1" applyAlignment="1" applyProtection="1">
      <alignment horizontal="center" vertical="center"/>
      <protection hidden="1"/>
    </xf>
    <xf numFmtId="164" fontId="33" fillId="2" borderId="0" xfId="0" applyNumberFormat="1" applyFont="1" applyFill="1" applyAlignment="1" applyProtection="1">
      <alignment horizontal="center" vertical="center"/>
      <protection hidden="1"/>
    </xf>
    <xf numFmtId="164" fontId="33" fillId="2" borderId="0" xfId="0" applyNumberFormat="1" applyFont="1" applyFill="1" applyAlignment="1" applyProtection="1">
      <alignment horizontal="center"/>
      <protection hidden="1"/>
    </xf>
    <xf numFmtId="0" fontId="0" fillId="5" borderId="1" xfId="0" applyFill="1" applyBorder="1" applyProtection="1">
      <protection hidden="1"/>
    </xf>
    <xf numFmtId="0" fontId="32" fillId="2" borderId="0" xfId="0" applyFont="1" applyFill="1" applyProtection="1">
      <protection hidden="1"/>
    </xf>
    <xf numFmtId="0" fontId="31" fillId="2" borderId="0" xfId="0" applyFont="1" applyFill="1" applyProtection="1">
      <protection hidden="1"/>
    </xf>
    <xf numFmtId="0" fontId="30" fillId="2" borderId="0" xfId="0" applyFont="1" applyFill="1" applyProtection="1">
      <protection hidden="1"/>
    </xf>
    <xf numFmtId="0" fontId="18" fillId="2" borderId="8" xfId="0" applyFont="1" applyFill="1" applyBorder="1" applyProtection="1">
      <protection hidden="1"/>
    </xf>
    <xf numFmtId="165" fontId="19" fillId="2" borderId="8" xfId="0" applyNumberFormat="1" applyFont="1" applyFill="1" applyBorder="1" applyAlignment="1" applyProtection="1">
      <alignment horizontal="center"/>
      <protection hidden="1"/>
    </xf>
    <xf numFmtId="0" fontId="19" fillId="2" borderId="8" xfId="0" applyFont="1" applyFill="1" applyBorder="1" applyProtection="1">
      <protection hidden="1"/>
    </xf>
    <xf numFmtId="0" fontId="24" fillId="2" borderId="0" xfId="0" applyFont="1" applyFill="1" applyAlignment="1" applyProtection="1">
      <alignment vertical="center"/>
      <protection hidden="1"/>
    </xf>
    <xf numFmtId="0" fontId="0" fillId="2" borderId="47" xfId="0" applyFill="1" applyBorder="1" applyProtection="1">
      <protection hidden="1"/>
    </xf>
    <xf numFmtId="0" fontId="34" fillId="0" borderId="1" xfId="0" applyFont="1" applyBorder="1" applyAlignment="1" applyProtection="1">
      <alignment horizontal="left"/>
      <protection hidden="1"/>
    </xf>
    <xf numFmtId="0" fontId="34" fillId="0" borderId="1" xfId="0" applyFont="1" applyBorder="1" applyAlignment="1" applyProtection="1">
      <alignment horizontal="center"/>
      <protection hidden="1"/>
    </xf>
    <xf numFmtId="9" fontId="34" fillId="0" borderId="1" xfId="23" applyFont="1" applyBorder="1" applyAlignment="1" applyProtection="1">
      <alignment horizontal="center"/>
      <protection hidden="1"/>
    </xf>
    <xf numFmtId="1" fontId="0" fillId="4" borderId="10" xfId="0" applyNumberFormat="1" applyFill="1" applyBorder="1" applyAlignment="1" applyProtection="1">
      <alignment horizontal="center"/>
      <protection locked="0"/>
    </xf>
    <xf numFmtId="0" fontId="36" fillId="3" borderId="5" xfId="0" applyFont="1" applyFill="1" applyBorder="1" applyProtection="1">
      <protection hidden="1"/>
    </xf>
    <xf numFmtId="0" fontId="36" fillId="3" borderId="0" xfId="0" applyFont="1" applyFill="1" applyProtection="1">
      <protection hidden="1"/>
    </xf>
    <xf numFmtId="0" fontId="0" fillId="8" borderId="48" xfId="0" applyFill="1" applyBorder="1" applyAlignment="1" applyProtection="1">
      <alignment horizontal="center"/>
      <protection hidden="1"/>
    </xf>
    <xf numFmtId="11" fontId="28" fillId="8" borderId="22" xfId="0" applyNumberFormat="1" applyFont="1" applyFill="1" applyBorder="1" applyAlignment="1">
      <alignment horizontal="center" vertical="center" readingOrder="1"/>
    </xf>
    <xf numFmtId="11" fontId="28" fillId="8" borderId="21" xfId="0" applyNumberFormat="1" applyFont="1" applyFill="1" applyBorder="1" applyAlignment="1">
      <alignment horizontal="center" vertical="center" readingOrder="1"/>
    </xf>
    <xf numFmtId="0" fontId="1" fillId="8" borderId="16" xfId="0" applyFont="1" applyFill="1" applyBorder="1" applyAlignment="1" applyProtection="1">
      <alignment horizontal="center"/>
      <protection hidden="1"/>
    </xf>
    <xf numFmtId="0" fontId="9" fillId="2" borderId="0" xfId="0" applyFont="1" applyFill="1" applyAlignment="1" applyProtection="1">
      <alignment horizontal="center" vertical="center"/>
      <protection hidden="1"/>
    </xf>
    <xf numFmtId="0" fontId="0" fillId="2" borderId="54" xfId="0" applyFill="1" applyBorder="1" applyAlignment="1" applyProtection="1">
      <alignment horizontal="center" vertical="center"/>
      <protection hidden="1"/>
    </xf>
    <xf numFmtId="0" fontId="1" fillId="3" borderId="58" xfId="0" applyFont="1" applyFill="1" applyBorder="1" applyProtection="1">
      <protection hidden="1"/>
    </xf>
    <xf numFmtId="0" fontId="0" fillId="3" borderId="59" xfId="0" applyFill="1" applyBorder="1" applyProtection="1">
      <protection hidden="1"/>
    </xf>
    <xf numFmtId="0" fontId="1" fillId="3" borderId="60" xfId="0" applyFont="1" applyFill="1" applyBorder="1" applyProtection="1">
      <protection hidden="1"/>
    </xf>
    <xf numFmtId="0" fontId="0" fillId="3" borderId="61" xfId="0" applyFill="1" applyBorder="1" applyProtection="1">
      <protection hidden="1"/>
    </xf>
    <xf numFmtId="0" fontId="1" fillId="3" borderId="62" xfId="0" applyFont="1" applyFill="1" applyBorder="1" applyAlignment="1" applyProtection="1">
      <alignment horizontal="left"/>
      <protection hidden="1"/>
    </xf>
    <xf numFmtId="0" fontId="1" fillId="3" borderId="54" xfId="0" applyFont="1" applyFill="1" applyBorder="1" applyAlignment="1" applyProtection="1">
      <alignment horizontal="left"/>
      <protection hidden="1"/>
    </xf>
    <xf numFmtId="0" fontId="0" fillId="3" borderId="54" xfId="0" applyFill="1" applyBorder="1" applyProtection="1">
      <protection hidden="1"/>
    </xf>
    <xf numFmtId="0" fontId="0" fillId="3" borderId="63" xfId="0" applyFill="1" applyBorder="1" applyProtection="1">
      <protection hidden="1"/>
    </xf>
    <xf numFmtId="0" fontId="9" fillId="2" borderId="0" xfId="0" applyFont="1" applyFill="1" applyProtection="1">
      <protection hidden="1"/>
    </xf>
    <xf numFmtId="0" fontId="1" fillId="3" borderId="64" xfId="0" applyFont="1" applyFill="1" applyBorder="1" applyAlignment="1" applyProtection="1">
      <alignment horizontal="center" vertical="center" textRotation="90" wrapText="1"/>
      <protection hidden="1"/>
    </xf>
    <xf numFmtId="0" fontId="1" fillId="3" borderId="65" xfId="0" applyFont="1" applyFill="1" applyBorder="1" applyAlignment="1" applyProtection="1">
      <alignment horizontal="center" vertical="center" textRotation="90" wrapText="1"/>
      <protection hidden="1"/>
    </xf>
    <xf numFmtId="0" fontId="11" fillId="3" borderId="66" xfId="0" applyFont="1" applyFill="1" applyBorder="1" applyAlignment="1" applyProtection="1">
      <alignment horizontal="center" vertical="center" textRotation="90" wrapText="1"/>
      <protection hidden="1"/>
    </xf>
    <xf numFmtId="0" fontId="1" fillId="3" borderId="67" xfId="0" applyFont="1" applyFill="1" applyBorder="1" applyAlignment="1" applyProtection="1">
      <alignment horizontal="center" vertical="center" textRotation="90" wrapText="1"/>
      <protection hidden="1"/>
    </xf>
    <xf numFmtId="0" fontId="3" fillId="3" borderId="65" xfId="0" applyFont="1" applyFill="1" applyBorder="1" applyAlignment="1" applyProtection="1">
      <alignment horizontal="center" vertical="center" textRotation="90" wrapText="1"/>
      <protection hidden="1"/>
    </xf>
    <xf numFmtId="0" fontId="12" fillId="3" borderId="66" xfId="0" applyFont="1" applyFill="1" applyBorder="1" applyAlignment="1" applyProtection="1">
      <alignment horizontal="center" vertical="center" textRotation="90" wrapText="1"/>
      <protection hidden="1"/>
    </xf>
    <xf numFmtId="0" fontId="12" fillId="3" borderId="67" xfId="0" applyFont="1" applyFill="1" applyBorder="1" applyAlignment="1" applyProtection="1">
      <alignment horizontal="center" vertical="center" textRotation="90" wrapText="1"/>
      <protection hidden="1"/>
    </xf>
    <xf numFmtId="0" fontId="13" fillId="3" borderId="66" xfId="0" applyFont="1" applyFill="1" applyBorder="1" applyAlignment="1" applyProtection="1">
      <alignment horizontal="center" vertical="center" textRotation="90" wrapText="1"/>
      <protection hidden="1"/>
    </xf>
    <xf numFmtId="0" fontId="13" fillId="3" borderId="65" xfId="0" applyFont="1" applyFill="1" applyBorder="1" applyAlignment="1" applyProtection="1">
      <alignment horizontal="center" vertical="center" textRotation="90" wrapText="1"/>
      <protection hidden="1"/>
    </xf>
    <xf numFmtId="0" fontId="14" fillId="3" borderId="66" xfId="0" applyFont="1" applyFill="1" applyBorder="1" applyAlignment="1" applyProtection="1">
      <alignment horizontal="center" vertical="center" textRotation="90" wrapText="1"/>
      <protection hidden="1"/>
    </xf>
    <xf numFmtId="0" fontId="23" fillId="3" borderId="66" xfId="0" applyFont="1" applyFill="1" applyBorder="1" applyAlignment="1" applyProtection="1">
      <alignment horizontal="center" vertical="center" textRotation="90" wrapText="1"/>
      <protection hidden="1"/>
    </xf>
    <xf numFmtId="0" fontId="23" fillId="3" borderId="67" xfId="0" applyFont="1" applyFill="1" applyBorder="1" applyAlignment="1" applyProtection="1">
      <alignment horizontal="center" vertical="center" textRotation="90" wrapText="1"/>
      <protection hidden="1"/>
    </xf>
    <xf numFmtId="9" fontId="0" fillId="2" borderId="60" xfId="0" applyNumberFormat="1" applyFill="1" applyBorder="1" applyProtection="1">
      <protection hidden="1"/>
    </xf>
    <xf numFmtId="9" fontId="0" fillId="2" borderId="62" xfId="0" applyNumberFormat="1" applyFill="1" applyBorder="1" applyProtection="1">
      <protection hidden="1"/>
    </xf>
    <xf numFmtId="1" fontId="9" fillId="2" borderId="0" xfId="0" applyNumberFormat="1" applyFont="1" applyFill="1" applyAlignment="1" applyProtection="1">
      <alignment horizontal="center" vertical="center"/>
      <protection hidden="1"/>
    </xf>
    <xf numFmtId="164" fontId="9" fillId="2" borderId="60" xfId="0" applyNumberFormat="1" applyFont="1" applyFill="1" applyBorder="1" applyAlignment="1" applyProtection="1">
      <alignment horizontal="center" vertical="center"/>
      <protection hidden="1"/>
    </xf>
    <xf numFmtId="164" fontId="9" fillId="2" borderId="62" xfId="0" applyNumberFormat="1" applyFont="1" applyFill="1" applyBorder="1" applyAlignment="1" applyProtection="1">
      <alignment horizontal="center" vertical="center"/>
      <protection hidden="1"/>
    </xf>
    <xf numFmtId="1" fontId="33" fillId="2" borderId="53" xfId="0" applyNumberFormat="1" applyFont="1" applyFill="1" applyBorder="1" applyAlignment="1" applyProtection="1">
      <alignment horizontal="center" vertical="center"/>
      <protection hidden="1"/>
    </xf>
    <xf numFmtId="0" fontId="33" fillId="2" borderId="54" xfId="0" applyFont="1" applyFill="1" applyBorder="1" applyAlignment="1" applyProtection="1">
      <alignment horizontal="center" vertical="center"/>
      <protection hidden="1"/>
    </xf>
    <xf numFmtId="2" fontId="33" fillId="2" borderId="69" xfId="0" applyNumberFormat="1" applyFont="1" applyFill="1" applyBorder="1" applyAlignment="1" applyProtection="1">
      <alignment horizontal="center" vertical="center"/>
      <protection hidden="1"/>
    </xf>
    <xf numFmtId="1" fontId="33" fillId="2" borderId="54" xfId="0" applyNumberFormat="1" applyFont="1" applyFill="1" applyBorder="1" applyAlignment="1" applyProtection="1">
      <alignment horizontal="center" vertical="center"/>
      <protection hidden="1"/>
    </xf>
    <xf numFmtId="2" fontId="33" fillId="2" borderId="54" xfId="0" applyNumberFormat="1" applyFont="1" applyFill="1" applyBorder="1" applyAlignment="1" applyProtection="1">
      <alignment horizontal="center" vertical="center"/>
      <protection hidden="1"/>
    </xf>
    <xf numFmtId="164" fontId="33" fillId="2" borderId="54" xfId="0" applyNumberFormat="1" applyFont="1" applyFill="1" applyBorder="1" applyAlignment="1" applyProtection="1">
      <alignment horizontal="center" vertical="center"/>
      <protection hidden="1"/>
    </xf>
    <xf numFmtId="164" fontId="33" fillId="2" borderId="54" xfId="0" applyNumberFormat="1" applyFont="1" applyFill="1" applyBorder="1" applyAlignment="1" applyProtection="1">
      <alignment horizontal="center"/>
      <protection hidden="1"/>
    </xf>
    <xf numFmtId="0" fontId="1" fillId="3" borderId="0" xfId="0" applyFont="1" applyFill="1" applyAlignment="1" applyProtection="1">
      <alignment horizontal="left" vertical="center"/>
      <protection hidden="1"/>
    </xf>
    <xf numFmtId="0" fontId="38" fillId="3" borderId="64" xfId="0" applyFont="1" applyFill="1" applyBorder="1" applyAlignment="1" applyProtection="1">
      <alignment horizontal="center" vertical="center" textRotation="90" wrapText="1"/>
      <protection hidden="1"/>
    </xf>
    <xf numFmtId="0" fontId="39" fillId="3" borderId="64" xfId="0" applyFont="1" applyFill="1" applyBorder="1" applyAlignment="1" applyProtection="1">
      <alignment horizontal="center" vertical="center" textRotation="90" wrapText="1"/>
      <protection hidden="1"/>
    </xf>
    <xf numFmtId="0" fontId="39" fillId="3" borderId="58" xfId="0" applyFont="1" applyFill="1" applyBorder="1" applyAlignment="1" applyProtection="1">
      <alignment horizontal="center" vertical="center" textRotation="90" wrapText="1"/>
      <protection hidden="1"/>
    </xf>
    <xf numFmtId="0" fontId="39" fillId="3" borderId="68" xfId="0" applyFont="1" applyFill="1" applyBorder="1" applyAlignment="1" applyProtection="1">
      <alignment horizontal="center" vertical="center" textRotation="90" wrapText="1"/>
      <protection hidden="1"/>
    </xf>
    <xf numFmtId="0" fontId="0" fillId="2" borderId="59" xfId="0" applyFill="1" applyBorder="1" applyProtection="1">
      <protection hidden="1"/>
    </xf>
    <xf numFmtId="0" fontId="8" fillId="4" borderId="15" xfId="0" applyFont="1" applyFill="1" applyBorder="1" applyAlignment="1" applyProtection="1">
      <alignment horizontal="left"/>
      <protection hidden="1"/>
    </xf>
    <xf numFmtId="0" fontId="0" fillId="12" borderId="21" xfId="0" applyFill="1" applyBorder="1" applyProtection="1">
      <protection hidden="1"/>
    </xf>
    <xf numFmtId="0" fontId="0" fillId="12" borderId="20" xfId="0" applyFill="1" applyBorder="1" applyProtection="1">
      <protection hidden="1"/>
    </xf>
    <xf numFmtId="0" fontId="0" fillId="12" borderId="22" xfId="0" applyFill="1" applyBorder="1" applyProtection="1">
      <protection hidden="1"/>
    </xf>
    <xf numFmtId="0" fontId="27" fillId="12" borderId="17" xfId="0" applyFont="1" applyFill="1" applyBorder="1" applyProtection="1">
      <protection hidden="1"/>
    </xf>
    <xf numFmtId="0" fontId="0" fillId="2" borderId="19" xfId="0" applyFill="1" applyBorder="1" applyProtection="1">
      <protection hidden="1"/>
    </xf>
    <xf numFmtId="0" fontId="0" fillId="2" borderId="18" xfId="0" applyFill="1" applyBorder="1" applyProtection="1">
      <protection hidden="1"/>
    </xf>
    <xf numFmtId="0" fontId="0" fillId="2" borderId="15" xfId="0" applyFill="1" applyBorder="1" applyProtection="1">
      <protection hidden="1"/>
    </xf>
    <xf numFmtId="9" fontId="0" fillId="2" borderId="60" xfId="23" applyFont="1" applyFill="1" applyBorder="1" applyProtection="1">
      <protection hidden="1"/>
    </xf>
    <xf numFmtId="10" fontId="0" fillId="2" borderId="47" xfId="0" applyNumberFormat="1" applyFill="1" applyBorder="1" applyProtection="1">
      <protection hidden="1"/>
    </xf>
    <xf numFmtId="10" fontId="0" fillId="2" borderId="36" xfId="0" applyNumberFormat="1" applyFill="1" applyBorder="1" applyProtection="1">
      <protection hidden="1"/>
    </xf>
    <xf numFmtId="2" fontId="0" fillId="2" borderId="47" xfId="0" applyNumberFormat="1" applyFill="1" applyBorder="1" applyProtection="1">
      <protection hidden="1"/>
    </xf>
    <xf numFmtId="2" fontId="0" fillId="2" borderId="36" xfId="0" applyNumberFormat="1" applyFill="1" applyBorder="1" applyProtection="1">
      <protection hidden="1"/>
    </xf>
    <xf numFmtId="164" fontId="0" fillId="2" borderId="47" xfId="0" applyNumberFormat="1" applyFill="1" applyBorder="1" applyProtection="1">
      <protection hidden="1"/>
    </xf>
    <xf numFmtId="164" fontId="0" fillId="2" borderId="36" xfId="0" applyNumberFormat="1" applyFill="1" applyBorder="1" applyProtection="1">
      <protection hidden="1"/>
    </xf>
    <xf numFmtId="0" fontId="0" fillId="2" borderId="1" xfId="0" applyFill="1" applyBorder="1" applyAlignment="1" applyProtection="1">
      <alignment horizontal="center" vertical="center" textRotation="90" wrapText="1"/>
      <protection hidden="1"/>
    </xf>
    <xf numFmtId="0" fontId="0" fillId="2" borderId="10" xfId="0" applyFill="1" applyBorder="1" applyAlignment="1" applyProtection="1">
      <alignment horizontal="center" vertical="center" textRotation="90" wrapText="1"/>
      <protection hidden="1"/>
    </xf>
    <xf numFmtId="10" fontId="0" fillId="2" borderId="19" xfId="23" applyNumberFormat="1" applyFont="1" applyFill="1" applyBorder="1" applyProtection="1">
      <protection hidden="1"/>
    </xf>
    <xf numFmtId="10" fontId="0" fillId="2" borderId="22" xfId="23" applyNumberFormat="1" applyFont="1" applyFill="1" applyBorder="1" applyProtection="1">
      <protection hidden="1"/>
    </xf>
    <xf numFmtId="0" fontId="0" fillId="2" borderId="72" xfId="0" applyFill="1" applyBorder="1" applyAlignment="1" applyProtection="1">
      <alignment horizontal="center" vertical="center" textRotation="90" wrapText="1"/>
      <protection hidden="1"/>
    </xf>
    <xf numFmtId="0" fontId="0" fillId="2" borderId="73" xfId="0" applyFill="1" applyBorder="1" applyAlignment="1" applyProtection="1">
      <alignment horizontal="center" vertical="center" textRotation="90" wrapText="1"/>
      <protection hidden="1"/>
    </xf>
    <xf numFmtId="0" fontId="0" fillId="2" borderId="74" xfId="0" applyFill="1" applyBorder="1" applyProtection="1">
      <protection hidden="1"/>
    </xf>
    <xf numFmtId="0" fontId="0" fillId="2" borderId="75" xfId="0" applyFill="1" applyBorder="1" applyProtection="1">
      <protection hidden="1"/>
    </xf>
    <xf numFmtId="0" fontId="0" fillId="2" borderId="15" xfId="0" applyFill="1" applyBorder="1" applyAlignment="1" applyProtection="1">
      <alignment horizontal="center" vertical="center" textRotation="90" wrapText="1"/>
      <protection hidden="1"/>
    </xf>
    <xf numFmtId="10" fontId="0" fillId="2" borderId="18" xfId="0" applyNumberFormat="1" applyFill="1" applyBorder="1" applyProtection="1">
      <protection hidden="1"/>
    </xf>
    <xf numFmtId="2" fontId="0" fillId="2" borderId="18" xfId="0" applyNumberFormat="1" applyFill="1" applyBorder="1" applyProtection="1">
      <protection hidden="1"/>
    </xf>
    <xf numFmtId="10" fontId="0" fillId="2" borderId="74" xfId="0" applyNumberFormat="1" applyFill="1" applyBorder="1" applyProtection="1">
      <protection hidden="1"/>
    </xf>
    <xf numFmtId="10" fontId="0" fillId="2" borderId="75" xfId="0" applyNumberFormat="1" applyFill="1" applyBorder="1" applyProtection="1">
      <protection hidden="1"/>
    </xf>
    <xf numFmtId="2" fontId="0" fillId="2" borderId="74" xfId="0" applyNumberFormat="1" applyFill="1" applyBorder="1" applyProtection="1">
      <protection hidden="1"/>
    </xf>
    <xf numFmtId="2" fontId="0" fillId="2" borderId="75" xfId="23" applyNumberFormat="1" applyFont="1" applyFill="1" applyBorder="1" applyProtection="1">
      <protection hidden="1"/>
    </xf>
    <xf numFmtId="2" fontId="0" fillId="2" borderId="76" xfId="0" applyNumberFormat="1" applyFill="1" applyBorder="1" applyProtection="1">
      <protection hidden="1"/>
    </xf>
    <xf numFmtId="2" fontId="0" fillId="2" borderId="77" xfId="23" applyNumberFormat="1" applyFont="1" applyFill="1" applyBorder="1" applyProtection="1">
      <protection hidden="1"/>
    </xf>
    <xf numFmtId="0" fontId="18" fillId="14" borderId="1" xfId="0" applyFont="1" applyFill="1" applyBorder="1" applyAlignment="1" applyProtection="1">
      <alignment horizontal="center" vertical="center" textRotation="90" wrapText="1"/>
      <protection hidden="1"/>
    </xf>
    <xf numFmtId="0" fontId="18" fillId="14" borderId="47" xfId="0" applyFont="1" applyFill="1" applyBorder="1" applyProtection="1">
      <protection hidden="1"/>
    </xf>
    <xf numFmtId="10" fontId="18" fillId="14" borderId="47" xfId="0" applyNumberFormat="1" applyFont="1" applyFill="1" applyBorder="1" applyProtection="1">
      <protection hidden="1"/>
    </xf>
    <xf numFmtId="10" fontId="18" fillId="14" borderId="74" xfId="0" applyNumberFormat="1" applyFont="1" applyFill="1" applyBorder="1" applyProtection="1">
      <protection hidden="1"/>
    </xf>
    <xf numFmtId="10" fontId="18" fillId="14" borderId="78" xfId="0" applyNumberFormat="1" applyFont="1" applyFill="1" applyBorder="1" applyProtection="1">
      <protection hidden="1"/>
    </xf>
    <xf numFmtId="0" fontId="0" fillId="2" borderId="48" xfId="0" applyFill="1" applyBorder="1" applyProtection="1">
      <protection hidden="1"/>
    </xf>
    <xf numFmtId="2" fontId="9" fillId="2" borderId="18" xfId="0" applyNumberFormat="1" applyFont="1" applyFill="1" applyBorder="1" applyProtection="1">
      <protection hidden="1"/>
    </xf>
    <xf numFmtId="11" fontId="17" fillId="15" borderId="24" xfId="0" applyNumberFormat="1" applyFont="1" applyFill="1" applyBorder="1" applyAlignment="1" applyProtection="1">
      <alignment horizontal="center" vertical="center"/>
      <protection hidden="1"/>
    </xf>
    <xf numFmtId="11" fontId="17" fillId="15" borderId="27" xfId="0" applyNumberFormat="1" applyFont="1" applyFill="1" applyBorder="1" applyAlignment="1" applyProtection="1">
      <alignment horizontal="center" vertical="center"/>
      <protection hidden="1"/>
    </xf>
    <xf numFmtId="0" fontId="17" fillId="16" borderId="19" xfId="0" applyFont="1" applyFill="1" applyBorder="1" applyAlignment="1" applyProtection="1">
      <alignment horizontal="center" vertical="center"/>
      <protection hidden="1"/>
    </xf>
    <xf numFmtId="0" fontId="2" fillId="17" borderId="1" xfId="0" applyFont="1" applyFill="1" applyBorder="1" applyAlignment="1" applyProtection="1">
      <alignment horizontal="center" vertical="center"/>
      <protection hidden="1"/>
    </xf>
    <xf numFmtId="168" fontId="0" fillId="2" borderId="0" xfId="0" applyNumberFormat="1" applyFill="1" applyProtection="1">
      <protection hidden="1"/>
    </xf>
    <xf numFmtId="168" fontId="21" fillId="2" borderId="0" xfId="23" applyNumberFormat="1" applyFont="1" applyFill="1" applyBorder="1" applyAlignment="1" applyProtection="1">
      <alignment horizontal="center"/>
      <protection hidden="1"/>
    </xf>
    <xf numFmtId="167" fontId="0" fillId="2" borderId="48" xfId="23" applyNumberFormat="1" applyFont="1" applyFill="1" applyBorder="1" applyProtection="1">
      <protection hidden="1"/>
    </xf>
    <xf numFmtId="167" fontId="0" fillId="2" borderId="47" xfId="23" applyNumberFormat="1" applyFont="1" applyFill="1" applyBorder="1" applyProtection="1">
      <protection hidden="1"/>
    </xf>
    <xf numFmtId="167" fontId="0" fillId="2" borderId="36" xfId="23" applyNumberFormat="1" applyFont="1" applyFill="1" applyBorder="1" applyProtection="1">
      <protection hidden="1"/>
    </xf>
    <xf numFmtId="9" fontId="35" fillId="4" borderId="21" xfId="23" applyFont="1" applyFill="1" applyBorder="1" applyAlignment="1" applyProtection="1">
      <alignment horizontal="center"/>
      <protection locked="0"/>
    </xf>
    <xf numFmtId="0" fontId="0" fillId="3" borderId="5" xfId="0" applyFill="1" applyBorder="1" applyAlignment="1" applyProtection="1">
      <alignment vertical="top"/>
      <protection hidden="1"/>
    </xf>
    <xf numFmtId="0" fontId="0" fillId="3" borderId="0" xfId="0" applyFill="1" applyAlignment="1" applyProtection="1">
      <alignment vertical="top"/>
      <protection hidden="1"/>
    </xf>
    <xf numFmtId="0" fontId="0" fillId="3" borderId="47" xfId="0" applyFill="1" applyBorder="1" applyAlignment="1" applyProtection="1">
      <alignment vertical="center"/>
      <protection hidden="1"/>
    </xf>
    <xf numFmtId="9" fontId="9" fillId="2" borderId="0" xfId="23" applyFont="1" applyFill="1" applyProtection="1">
      <protection hidden="1"/>
    </xf>
    <xf numFmtId="0" fontId="37" fillId="3" borderId="47" xfId="0" applyFont="1" applyFill="1" applyBorder="1" applyAlignment="1" applyProtection="1">
      <alignment vertical="center"/>
      <protection hidden="1"/>
    </xf>
    <xf numFmtId="0" fontId="43" fillId="3" borderId="0" xfId="0" applyFont="1" applyFill="1" applyAlignment="1" applyProtection="1">
      <alignment vertical="center"/>
      <protection hidden="1"/>
    </xf>
    <xf numFmtId="0" fontId="43" fillId="3" borderId="18" xfId="0" applyFont="1" applyFill="1" applyBorder="1" applyAlignment="1" applyProtection="1">
      <alignment vertical="center"/>
      <protection hidden="1"/>
    </xf>
    <xf numFmtId="0" fontId="37" fillId="3" borderId="18" xfId="0" applyFont="1" applyFill="1" applyBorder="1" applyAlignment="1" applyProtection="1">
      <alignment vertical="center"/>
      <protection hidden="1"/>
    </xf>
    <xf numFmtId="166" fontId="0" fillId="2" borderId="1" xfId="0" applyNumberFormat="1" applyFill="1" applyBorder="1" applyProtection="1">
      <protection hidden="1"/>
    </xf>
    <xf numFmtId="164" fontId="33" fillId="2" borderId="6" xfId="0" applyNumberFormat="1" applyFont="1" applyFill="1" applyBorder="1" applyAlignment="1" applyProtection="1">
      <alignment horizontal="center" vertical="center"/>
      <protection hidden="1"/>
    </xf>
    <xf numFmtId="9" fontId="33" fillId="2" borderId="61" xfId="23" applyFont="1" applyFill="1" applyBorder="1" applyAlignment="1" applyProtection="1">
      <alignment horizontal="center"/>
      <protection hidden="1"/>
    </xf>
    <xf numFmtId="9" fontId="33" fillId="2" borderId="63" xfId="23" applyFont="1" applyFill="1" applyBorder="1" applyAlignment="1" applyProtection="1">
      <alignment horizontal="center"/>
      <protection hidden="1"/>
    </xf>
    <xf numFmtId="0" fontId="1" fillId="5" borderId="0" xfId="0" applyFont="1" applyFill="1" applyAlignment="1" applyProtection="1">
      <alignment horizontal="center"/>
      <protection hidden="1"/>
    </xf>
    <xf numFmtId="166" fontId="8" fillId="4" borderId="0" xfId="0" applyNumberFormat="1" applyFont="1" applyFill="1" applyAlignment="1" applyProtection="1">
      <alignment horizontal="center"/>
      <protection hidden="1"/>
    </xf>
    <xf numFmtId="1" fontId="8" fillId="4" borderId="0" xfId="0" applyNumberFormat="1" applyFont="1" applyFill="1" applyAlignment="1" applyProtection="1">
      <alignment horizontal="center"/>
      <protection hidden="1"/>
    </xf>
    <xf numFmtId="0" fontId="9" fillId="2" borderId="8" xfId="0" applyFont="1" applyFill="1" applyBorder="1" applyAlignment="1" applyProtection="1">
      <alignment horizontal="center" vertical="center"/>
      <protection hidden="1"/>
    </xf>
    <xf numFmtId="165" fontId="21" fillId="2" borderId="0" xfId="0" applyNumberFormat="1" applyFont="1" applyFill="1" applyAlignment="1" applyProtection="1">
      <alignment horizontal="center" vertical="center"/>
      <protection hidden="1"/>
    </xf>
    <xf numFmtId="0" fontId="21" fillId="2" borderId="0" xfId="0" applyFont="1" applyFill="1" applyAlignment="1" applyProtection="1">
      <alignment vertical="center"/>
      <protection hidden="1"/>
    </xf>
    <xf numFmtId="0" fontId="2" fillId="2" borderId="59" xfId="0" applyFont="1" applyFill="1" applyBorder="1" applyProtection="1">
      <protection hidden="1"/>
    </xf>
    <xf numFmtId="9" fontId="33" fillId="2" borderId="61" xfId="0" applyNumberFormat="1" applyFont="1" applyFill="1" applyBorder="1" applyAlignment="1" applyProtection="1">
      <alignment horizontal="center"/>
      <protection hidden="1"/>
    </xf>
    <xf numFmtId="1" fontId="0" fillId="20" borderId="10" xfId="0" applyNumberFormat="1" applyFill="1" applyBorder="1" applyAlignment="1" applyProtection="1">
      <alignment horizontal="center"/>
      <protection locked="0"/>
    </xf>
    <xf numFmtId="0" fontId="27" fillId="2" borderId="1" xfId="0" applyFont="1" applyFill="1" applyBorder="1" applyProtection="1">
      <protection hidden="1"/>
    </xf>
    <xf numFmtId="0" fontId="2" fillId="2" borderId="18" xfId="0" applyFont="1" applyFill="1" applyBorder="1" applyProtection="1">
      <protection hidden="1"/>
    </xf>
    <xf numFmtId="0" fontId="2" fillId="2" borderId="17" xfId="0" applyFont="1" applyFill="1" applyBorder="1" applyProtection="1">
      <protection hidden="1"/>
    </xf>
    <xf numFmtId="0" fontId="2" fillId="2" borderId="20" xfId="0" applyFont="1" applyFill="1" applyBorder="1" applyProtection="1">
      <protection hidden="1"/>
    </xf>
    <xf numFmtId="0" fontId="45" fillId="2" borderId="17" xfId="0" applyFont="1" applyFill="1" applyBorder="1" applyAlignment="1" applyProtection="1">
      <alignment horizontal="left"/>
      <protection hidden="1"/>
    </xf>
    <xf numFmtId="0" fontId="45" fillId="2" borderId="18" xfId="0" applyFont="1" applyFill="1" applyBorder="1" applyAlignment="1" applyProtection="1">
      <alignment horizontal="left"/>
      <protection hidden="1"/>
    </xf>
    <xf numFmtId="0" fontId="45" fillId="2" borderId="20" xfId="0" applyFont="1" applyFill="1" applyBorder="1" applyAlignment="1" applyProtection="1">
      <alignment horizontal="left"/>
      <protection hidden="1"/>
    </xf>
    <xf numFmtId="0" fontId="2" fillId="2" borderId="37" xfId="0" applyFont="1" applyFill="1" applyBorder="1" applyProtection="1">
      <protection hidden="1"/>
    </xf>
    <xf numFmtId="0" fontId="2" fillId="2" borderId="38" xfId="0" applyFont="1" applyFill="1" applyBorder="1" applyProtection="1">
      <protection hidden="1"/>
    </xf>
    <xf numFmtId="0" fontId="0" fillId="2" borderId="0" xfId="0" applyFill="1" applyAlignment="1" applyProtection="1">
      <alignment horizontal="center" vertical="center" textRotation="90" wrapText="1"/>
      <protection hidden="1"/>
    </xf>
    <xf numFmtId="0" fontId="0" fillId="2" borderId="1" xfId="0" applyFill="1" applyBorder="1" applyAlignment="1" applyProtection="1">
      <alignment horizontal="center" vertical="center"/>
      <protection hidden="1"/>
    </xf>
    <xf numFmtId="164" fontId="0" fillId="2" borderId="48" xfId="0" applyNumberFormat="1" applyFill="1" applyBorder="1" applyAlignment="1" applyProtection="1">
      <alignment horizontal="center" vertical="center"/>
      <protection hidden="1"/>
    </xf>
    <xf numFmtId="0" fontId="0" fillId="2" borderId="10" xfId="0" applyFill="1" applyBorder="1" applyProtection="1">
      <protection hidden="1"/>
    </xf>
    <xf numFmtId="164" fontId="0" fillId="4" borderId="1" xfId="0" applyNumberFormat="1" applyFill="1" applyBorder="1" applyAlignment="1" applyProtection="1">
      <alignment horizontal="center"/>
      <protection hidden="1"/>
    </xf>
    <xf numFmtId="164" fontId="9" fillId="2" borderId="61" xfId="0" applyNumberFormat="1" applyFont="1" applyFill="1" applyBorder="1" applyAlignment="1" applyProtection="1">
      <alignment horizontal="center" vertical="center"/>
      <protection hidden="1"/>
    </xf>
    <xf numFmtId="164" fontId="9" fillId="2" borderId="63" xfId="0" applyNumberFormat="1" applyFont="1" applyFill="1" applyBorder="1" applyAlignment="1" applyProtection="1">
      <alignment horizontal="center" vertical="center"/>
      <protection hidden="1"/>
    </xf>
    <xf numFmtId="9" fontId="9" fillId="2" borderId="61" xfId="0" applyNumberFormat="1" applyFont="1" applyFill="1" applyBorder="1" applyAlignment="1" applyProtection="1">
      <alignment horizontal="center" vertical="center"/>
      <protection hidden="1"/>
    </xf>
    <xf numFmtId="9" fontId="9" fillId="2" borderId="61" xfId="23" applyFont="1" applyFill="1" applyBorder="1" applyAlignment="1" applyProtection="1">
      <alignment horizontal="center" vertical="center"/>
      <protection hidden="1"/>
    </xf>
    <xf numFmtId="9" fontId="9" fillId="2" borderId="63" xfId="23" applyFont="1" applyFill="1" applyBorder="1" applyAlignment="1" applyProtection="1">
      <alignment horizontal="center" vertical="center"/>
      <protection hidden="1"/>
    </xf>
    <xf numFmtId="2" fontId="0" fillId="2" borderId="48" xfId="23" applyNumberFormat="1" applyFont="1" applyFill="1" applyBorder="1" applyProtection="1">
      <protection hidden="1"/>
    </xf>
    <xf numFmtId="9" fontId="0" fillId="2" borderId="48" xfId="23" applyFont="1" applyFill="1" applyBorder="1" applyProtection="1">
      <protection hidden="1"/>
    </xf>
    <xf numFmtId="165" fontId="0" fillId="2" borderId="48" xfId="23" applyNumberFormat="1" applyFont="1" applyFill="1" applyBorder="1" applyProtection="1">
      <protection hidden="1"/>
    </xf>
    <xf numFmtId="2" fontId="0" fillId="2" borderId="47" xfId="23" applyNumberFormat="1" applyFont="1" applyFill="1" applyBorder="1" applyProtection="1">
      <protection hidden="1"/>
    </xf>
    <xf numFmtId="9" fontId="0" fillId="2" borderId="47" xfId="23" applyFont="1" applyFill="1" applyBorder="1" applyProtection="1">
      <protection hidden="1"/>
    </xf>
    <xf numFmtId="165" fontId="0" fillId="2" borderId="47" xfId="23" applyNumberFormat="1" applyFont="1" applyFill="1" applyBorder="1" applyProtection="1">
      <protection hidden="1"/>
    </xf>
    <xf numFmtId="2" fontId="0" fillId="2" borderId="36" xfId="23" applyNumberFormat="1" applyFont="1" applyFill="1" applyBorder="1" applyProtection="1">
      <protection hidden="1"/>
    </xf>
    <xf numFmtId="9" fontId="0" fillId="2" borderId="36" xfId="23" applyFont="1" applyFill="1" applyBorder="1" applyProtection="1">
      <protection hidden="1"/>
    </xf>
    <xf numFmtId="165" fontId="0" fillId="2" borderId="36" xfId="23" applyNumberFormat="1" applyFont="1" applyFill="1" applyBorder="1" applyProtection="1">
      <protection hidden="1"/>
    </xf>
    <xf numFmtId="49" fontId="40" fillId="2" borderId="0" xfId="0" applyNumberFormat="1" applyFont="1" applyFill="1" applyProtection="1">
      <protection hidden="1"/>
    </xf>
    <xf numFmtId="169" fontId="0" fillId="2" borderId="37" xfId="0" applyNumberFormat="1" applyFill="1" applyBorder="1" applyProtection="1">
      <protection hidden="1"/>
    </xf>
    <xf numFmtId="0" fontId="20" fillId="2" borderId="38" xfId="0" applyFont="1" applyFill="1" applyBorder="1" applyProtection="1">
      <protection hidden="1"/>
    </xf>
    <xf numFmtId="168" fontId="9" fillId="2" borderId="0" xfId="23" applyNumberFormat="1" applyFont="1" applyFill="1" applyProtection="1">
      <protection hidden="1"/>
    </xf>
    <xf numFmtId="167" fontId="9" fillId="2" borderId="0" xfId="23" applyNumberFormat="1" applyFont="1" applyFill="1" applyProtection="1">
      <protection hidden="1"/>
    </xf>
    <xf numFmtId="166" fontId="9" fillId="2" borderId="0" xfId="0" applyNumberFormat="1" applyFont="1" applyFill="1" applyAlignment="1" applyProtection="1">
      <alignment horizontal="right"/>
      <protection hidden="1"/>
    </xf>
    <xf numFmtId="0" fontId="0" fillId="2" borderId="37" xfId="0" applyFill="1" applyBorder="1" applyProtection="1">
      <protection hidden="1"/>
    </xf>
    <xf numFmtId="0" fontId="0" fillId="2" borderId="38" xfId="0" applyFill="1" applyBorder="1" applyProtection="1">
      <protection hidden="1"/>
    </xf>
    <xf numFmtId="1" fontId="0" fillId="20" borderId="81" xfId="0" applyNumberFormat="1" applyFill="1" applyBorder="1" applyAlignment="1" applyProtection="1">
      <alignment horizontal="center" vertical="center"/>
      <protection locked="0"/>
    </xf>
    <xf numFmtId="164" fontId="33" fillId="2" borderId="83" xfId="0" applyNumberFormat="1" applyFont="1" applyFill="1" applyBorder="1" applyAlignment="1" applyProtection="1">
      <alignment horizontal="center"/>
      <protection hidden="1"/>
    </xf>
    <xf numFmtId="164" fontId="33" fillId="2" borderId="84" xfId="0" applyNumberFormat="1" applyFont="1" applyFill="1" applyBorder="1" applyAlignment="1" applyProtection="1">
      <alignment horizontal="center"/>
      <protection hidden="1"/>
    </xf>
    <xf numFmtId="0" fontId="14" fillId="3" borderId="64" xfId="0" applyFont="1" applyFill="1" applyBorder="1" applyAlignment="1" applyProtection="1">
      <alignment horizontal="center" vertical="center" textRotation="90" wrapText="1"/>
      <protection hidden="1"/>
    </xf>
    <xf numFmtId="0" fontId="23" fillId="3" borderId="33" xfId="0" applyFont="1" applyFill="1" applyBorder="1" applyAlignment="1" applyProtection="1">
      <alignment horizontal="center" vertical="center" textRotation="90" wrapText="1"/>
      <protection hidden="1"/>
    </xf>
    <xf numFmtId="0" fontId="23" fillId="3" borderId="70" xfId="0" applyFont="1" applyFill="1" applyBorder="1" applyAlignment="1" applyProtection="1">
      <alignment horizontal="center" vertical="center" textRotation="90" wrapText="1"/>
      <protection hidden="1"/>
    </xf>
    <xf numFmtId="0" fontId="46" fillId="3" borderId="58" xfId="0" applyFont="1" applyFill="1" applyBorder="1" applyAlignment="1" applyProtection="1">
      <alignment horizontal="center" vertical="center" textRotation="90" wrapText="1"/>
      <protection hidden="1"/>
    </xf>
    <xf numFmtId="0" fontId="46" fillId="3" borderId="71" xfId="0" applyFont="1" applyFill="1" applyBorder="1" applyAlignment="1" applyProtection="1">
      <alignment horizontal="center" vertical="center" textRotation="90" wrapText="1"/>
      <protection hidden="1"/>
    </xf>
    <xf numFmtId="0" fontId="46" fillId="3" borderId="68" xfId="0" applyFont="1" applyFill="1" applyBorder="1" applyAlignment="1" applyProtection="1">
      <alignment horizontal="center" vertical="center" textRotation="90" wrapText="1"/>
      <protection hidden="1"/>
    </xf>
    <xf numFmtId="165" fontId="0" fillId="2" borderId="0" xfId="0" applyNumberFormat="1" applyFill="1" applyAlignment="1" applyProtection="1">
      <alignment horizontal="center"/>
      <protection hidden="1"/>
    </xf>
    <xf numFmtId="1" fontId="0" fillId="2" borderId="60" xfId="0" applyNumberFormat="1" applyFill="1" applyBorder="1" applyAlignment="1" applyProtection="1">
      <alignment horizontal="center" vertical="center"/>
      <protection hidden="1"/>
    </xf>
    <xf numFmtId="164" fontId="0" fillId="2" borderId="61" xfId="0" applyNumberFormat="1" applyFill="1" applyBorder="1" applyAlignment="1" applyProtection="1">
      <alignment horizontal="center" vertical="center"/>
      <protection hidden="1"/>
    </xf>
    <xf numFmtId="1" fontId="0" fillId="2" borderId="62" xfId="0" applyNumberFormat="1" applyFill="1" applyBorder="1" applyAlignment="1" applyProtection="1">
      <alignment horizontal="center" vertical="center"/>
      <protection hidden="1"/>
    </xf>
    <xf numFmtId="164" fontId="0" fillId="2" borderId="63" xfId="0" applyNumberFormat="1" applyFill="1" applyBorder="1" applyAlignment="1" applyProtection="1">
      <alignment horizontal="center" vertical="center"/>
      <protection hidden="1"/>
    </xf>
    <xf numFmtId="164" fontId="0" fillId="2" borderId="60" xfId="0" applyNumberFormat="1" applyFill="1" applyBorder="1" applyAlignment="1" applyProtection="1">
      <alignment horizontal="center" vertical="center"/>
      <protection hidden="1"/>
    </xf>
    <xf numFmtId="164" fontId="0" fillId="2" borderId="62" xfId="0" applyNumberFormat="1" applyFill="1" applyBorder="1" applyAlignment="1" applyProtection="1">
      <alignment horizontal="center" vertical="center"/>
      <protection hidden="1"/>
    </xf>
    <xf numFmtId="1" fontId="9" fillId="2" borderId="54" xfId="0" applyNumberFormat="1" applyFont="1" applyFill="1" applyBorder="1" applyAlignment="1" applyProtection="1">
      <alignment horizontal="center" vertical="center"/>
      <protection hidden="1"/>
    </xf>
    <xf numFmtId="0" fontId="0" fillId="2" borderId="61" xfId="0" applyFill="1" applyBorder="1" applyAlignment="1" applyProtection="1">
      <alignment horizontal="center" vertical="center"/>
      <protection hidden="1"/>
    </xf>
    <xf numFmtId="0" fontId="0" fillId="2" borderId="63" xfId="0" applyFill="1" applyBorder="1" applyAlignment="1" applyProtection="1">
      <alignment horizontal="center" vertical="center"/>
      <protection hidden="1"/>
    </xf>
    <xf numFmtId="164" fontId="0" fillId="19" borderId="22" xfId="0" applyNumberFormat="1" applyFill="1" applyBorder="1" applyAlignment="1" applyProtection="1">
      <alignment horizontal="center" vertical="center"/>
      <protection hidden="1"/>
    </xf>
    <xf numFmtId="9" fontId="0" fillId="20" borderId="10" xfId="0" applyNumberFormat="1" applyFill="1" applyBorder="1" applyAlignment="1" applyProtection="1">
      <alignment horizontal="center"/>
      <protection locked="0"/>
    </xf>
    <xf numFmtId="0" fontId="21" fillId="2" borderId="0" xfId="23" applyNumberFormat="1" applyFont="1" applyFill="1" applyBorder="1" applyAlignment="1" applyProtection="1">
      <alignment horizontal="center" vertical="center"/>
      <protection hidden="1"/>
    </xf>
    <xf numFmtId="168" fontId="21" fillId="2" borderId="0" xfId="23" applyNumberFormat="1" applyFont="1" applyFill="1" applyBorder="1" applyAlignment="1" applyProtection="1">
      <alignment horizontal="center" vertical="center"/>
      <protection hidden="1"/>
    </xf>
    <xf numFmtId="1" fontId="0" fillId="2" borderId="54" xfId="0" applyNumberFormat="1" applyFill="1" applyBorder="1" applyAlignment="1" applyProtection="1">
      <alignment horizontal="center" vertical="center"/>
      <protection hidden="1"/>
    </xf>
    <xf numFmtId="164" fontId="0" fillId="2" borderId="48" xfId="0" applyNumberFormat="1" applyFill="1" applyBorder="1" applyProtection="1">
      <protection hidden="1"/>
    </xf>
    <xf numFmtId="164" fontId="0" fillId="2" borderId="74" xfId="0" applyNumberFormat="1" applyFill="1" applyBorder="1" applyProtection="1">
      <protection hidden="1"/>
    </xf>
    <xf numFmtId="164" fontId="0" fillId="2" borderId="76" xfId="0" applyNumberFormat="1" applyFill="1" applyBorder="1" applyProtection="1">
      <protection hidden="1"/>
    </xf>
    <xf numFmtId="9" fontId="0" fillId="13" borderId="1" xfId="0" applyNumberFormat="1" applyFill="1" applyBorder="1" applyAlignment="1" applyProtection="1">
      <alignment horizontal="center"/>
      <protection hidden="1"/>
    </xf>
    <xf numFmtId="0" fontId="17" fillId="9" borderId="17" xfId="0" applyFont="1" applyFill="1" applyBorder="1" applyAlignment="1" applyProtection="1">
      <alignment horizontal="center" vertical="center"/>
      <protection hidden="1"/>
    </xf>
    <xf numFmtId="0" fontId="17" fillId="9" borderId="37" xfId="0" applyFont="1" applyFill="1" applyBorder="1" applyAlignment="1" applyProtection="1">
      <alignment horizontal="center" vertical="center"/>
      <protection hidden="1"/>
    </xf>
    <xf numFmtId="0" fontId="17" fillId="9" borderId="21" xfId="0" applyFont="1" applyFill="1" applyBorder="1" applyAlignment="1" applyProtection="1">
      <alignment horizontal="center" vertical="center"/>
      <protection hidden="1"/>
    </xf>
    <xf numFmtId="0" fontId="17" fillId="9" borderId="18" xfId="0" applyFont="1" applyFill="1" applyBorder="1" applyAlignment="1" applyProtection="1">
      <alignment horizontal="center" vertical="center"/>
      <protection hidden="1"/>
    </xf>
    <xf numFmtId="0" fontId="17" fillId="9" borderId="0" xfId="0" applyFont="1" applyFill="1" applyAlignment="1" applyProtection="1">
      <alignment horizontal="center" vertical="center"/>
      <protection hidden="1"/>
    </xf>
    <xf numFmtId="0" fontId="17" fillId="9" borderId="19" xfId="0" applyFont="1" applyFill="1" applyBorder="1" applyAlignment="1" applyProtection="1">
      <alignment horizontal="center" vertical="center"/>
      <protection hidden="1"/>
    </xf>
    <xf numFmtId="0" fontId="17" fillId="9" borderId="20" xfId="0" applyFont="1" applyFill="1" applyBorder="1" applyAlignment="1" applyProtection="1">
      <alignment horizontal="center" vertical="center"/>
      <protection hidden="1"/>
    </xf>
    <xf numFmtId="0" fontId="17" fillId="9" borderId="38" xfId="0" applyFont="1" applyFill="1" applyBorder="1" applyAlignment="1" applyProtection="1">
      <alignment horizontal="center" vertical="center"/>
      <protection hidden="1"/>
    </xf>
    <xf numFmtId="0" fontId="17" fillId="9" borderId="22" xfId="0" applyFont="1" applyFill="1" applyBorder="1" applyAlignment="1" applyProtection="1">
      <alignment horizontal="center" vertical="center"/>
      <protection hidden="1"/>
    </xf>
    <xf numFmtId="0" fontId="17" fillId="9" borderId="48" xfId="0" applyFont="1" applyFill="1" applyBorder="1" applyAlignment="1" applyProtection="1">
      <alignment horizontal="center" vertical="center"/>
      <protection hidden="1"/>
    </xf>
    <xf numFmtId="0" fontId="17" fillId="9" borderId="47" xfId="0" applyFont="1" applyFill="1" applyBorder="1" applyAlignment="1" applyProtection="1">
      <alignment horizontal="center" vertical="center"/>
      <protection hidden="1"/>
    </xf>
    <xf numFmtId="0" fontId="17" fillId="9" borderId="36" xfId="0" applyFont="1" applyFill="1" applyBorder="1" applyAlignment="1" applyProtection="1">
      <alignment horizontal="center" vertical="center"/>
      <protection hidden="1"/>
    </xf>
    <xf numFmtId="0" fontId="17" fillId="10" borderId="48" xfId="0" applyFont="1" applyFill="1" applyBorder="1" applyAlignment="1" applyProtection="1">
      <alignment horizontal="center" vertical="center"/>
      <protection hidden="1"/>
    </xf>
    <xf numFmtId="0" fontId="17" fillId="10" borderId="47" xfId="0" applyFont="1" applyFill="1" applyBorder="1" applyAlignment="1" applyProtection="1">
      <alignment horizontal="center" vertical="center"/>
      <protection hidden="1"/>
    </xf>
    <xf numFmtId="0" fontId="17" fillId="10" borderId="36" xfId="0" applyFont="1" applyFill="1" applyBorder="1" applyAlignment="1" applyProtection="1">
      <alignment horizontal="center" vertical="center"/>
      <protection hidden="1"/>
    </xf>
    <xf numFmtId="0" fontId="17" fillId="10" borderId="17" xfId="0" applyFont="1" applyFill="1" applyBorder="1" applyAlignment="1" applyProtection="1">
      <alignment horizontal="center" vertical="center"/>
      <protection hidden="1"/>
    </xf>
    <xf numFmtId="0" fontId="17" fillId="10" borderId="37" xfId="0" applyFont="1" applyFill="1" applyBorder="1" applyAlignment="1" applyProtection="1">
      <alignment horizontal="center" vertical="center"/>
      <protection hidden="1"/>
    </xf>
    <xf numFmtId="0" fontId="17" fillId="10" borderId="21" xfId="0" applyFont="1" applyFill="1" applyBorder="1" applyAlignment="1" applyProtection="1">
      <alignment horizontal="center" vertical="center"/>
      <protection hidden="1"/>
    </xf>
    <xf numFmtId="0" fontId="17" fillId="10" borderId="18" xfId="0" applyFont="1" applyFill="1" applyBorder="1" applyAlignment="1" applyProtection="1">
      <alignment horizontal="center" vertical="center"/>
      <protection hidden="1"/>
    </xf>
    <xf numFmtId="0" fontId="17" fillId="10" borderId="0" xfId="0" applyFont="1" applyFill="1" applyAlignment="1" applyProtection="1">
      <alignment horizontal="center" vertical="center"/>
      <protection hidden="1"/>
    </xf>
    <xf numFmtId="0" fontId="17" fillId="10" borderId="19" xfId="0" applyFont="1" applyFill="1" applyBorder="1" applyAlignment="1" applyProtection="1">
      <alignment horizontal="center" vertical="center"/>
      <protection hidden="1"/>
    </xf>
    <xf numFmtId="0" fontId="17" fillId="10" borderId="20" xfId="0" applyFont="1" applyFill="1" applyBorder="1" applyAlignment="1" applyProtection="1">
      <alignment horizontal="center" vertical="center"/>
      <protection hidden="1"/>
    </xf>
    <xf numFmtId="0" fontId="17" fillId="10" borderId="38" xfId="0" applyFont="1" applyFill="1" applyBorder="1" applyAlignment="1" applyProtection="1">
      <alignment horizontal="center" vertical="center"/>
      <protection hidden="1"/>
    </xf>
    <xf numFmtId="0" fontId="17" fillId="10" borderId="22" xfId="0" applyFont="1" applyFill="1" applyBorder="1" applyAlignment="1" applyProtection="1">
      <alignment horizontal="center" vertical="center"/>
      <protection hidden="1"/>
    </xf>
    <xf numFmtId="10" fontId="0" fillId="10" borderId="47" xfId="0" applyNumberFormat="1" applyFill="1" applyBorder="1" applyProtection="1">
      <protection hidden="1"/>
    </xf>
    <xf numFmtId="0" fontId="0" fillId="10" borderId="75" xfId="0" applyFill="1" applyBorder="1" applyProtection="1">
      <protection hidden="1"/>
    </xf>
    <xf numFmtId="2" fontId="0" fillId="10" borderId="47" xfId="0" applyNumberFormat="1" applyFill="1" applyBorder="1" applyProtection="1">
      <protection hidden="1"/>
    </xf>
    <xf numFmtId="11" fontId="0" fillId="21" borderId="0" xfId="0" applyNumberFormat="1" applyFill="1"/>
    <xf numFmtId="11" fontId="17" fillId="21" borderId="18" xfId="0" applyNumberFormat="1" applyFont="1" applyFill="1" applyBorder="1" applyAlignment="1" applyProtection="1">
      <alignment horizontal="center" vertical="center"/>
      <protection hidden="1"/>
    </xf>
    <xf numFmtId="11" fontId="17" fillId="9" borderId="48" xfId="0" applyNumberFormat="1" applyFont="1" applyFill="1" applyBorder="1" applyAlignment="1" applyProtection="1">
      <alignment horizontal="center" vertical="center"/>
      <protection hidden="1"/>
    </xf>
    <xf numFmtId="11" fontId="17" fillId="9" borderId="36" xfId="0" applyNumberFormat="1" applyFont="1" applyFill="1" applyBorder="1" applyAlignment="1" applyProtection="1">
      <alignment horizontal="center" vertical="center"/>
      <protection hidden="1"/>
    </xf>
    <xf numFmtId="11" fontId="17" fillId="9" borderId="47" xfId="0" applyNumberFormat="1" applyFont="1" applyFill="1" applyBorder="1" applyAlignment="1" applyProtection="1">
      <alignment horizontal="center" vertical="center"/>
      <protection hidden="1"/>
    </xf>
    <xf numFmtId="1" fontId="17" fillId="9" borderId="36" xfId="0" applyNumberFormat="1" applyFont="1" applyFill="1" applyBorder="1" applyAlignment="1" applyProtection="1">
      <alignment horizontal="center" vertical="center"/>
      <protection hidden="1"/>
    </xf>
    <xf numFmtId="11" fontId="0" fillId="21" borderId="16" xfId="0" applyNumberFormat="1" applyFill="1" applyBorder="1"/>
    <xf numFmtId="11" fontId="0" fillId="21" borderId="10" xfId="0" applyNumberFormat="1" applyFill="1" applyBorder="1"/>
    <xf numFmtId="11" fontId="0" fillId="21" borderId="16" xfId="0" applyNumberFormat="1" applyFill="1" applyBorder="1" applyProtection="1">
      <protection hidden="1"/>
    </xf>
    <xf numFmtId="11" fontId="0" fillId="21" borderId="10" xfId="0" applyNumberFormat="1" applyFill="1" applyBorder="1" applyProtection="1">
      <protection hidden="1"/>
    </xf>
    <xf numFmtId="0" fontId="17" fillId="21" borderId="18" xfId="0" applyFont="1" applyFill="1" applyBorder="1" applyAlignment="1" applyProtection="1">
      <alignment horizontal="center" vertical="center"/>
      <protection hidden="1"/>
    </xf>
    <xf numFmtId="11" fontId="17" fillId="9" borderId="21" xfId="0" applyNumberFormat="1" applyFont="1" applyFill="1" applyBorder="1" applyAlignment="1" applyProtection="1">
      <alignment horizontal="center" vertical="center"/>
      <protection hidden="1"/>
    </xf>
    <xf numFmtId="11" fontId="17" fillId="9" borderId="19" xfId="0" applyNumberFormat="1" applyFont="1" applyFill="1" applyBorder="1" applyAlignment="1" applyProtection="1">
      <alignment horizontal="center" vertical="center"/>
      <protection hidden="1"/>
    </xf>
    <xf numFmtId="11" fontId="17" fillId="9" borderId="22" xfId="0" applyNumberFormat="1" applyFont="1" applyFill="1" applyBorder="1" applyAlignment="1" applyProtection="1">
      <alignment horizontal="center" vertical="center"/>
      <protection hidden="1"/>
    </xf>
    <xf numFmtId="11" fontId="17" fillId="9" borderId="18" xfId="0" applyNumberFormat="1" applyFont="1" applyFill="1" applyBorder="1" applyAlignment="1" applyProtection="1">
      <alignment horizontal="center" vertical="center"/>
      <protection hidden="1"/>
    </xf>
    <xf numFmtId="11" fontId="17" fillId="9" borderId="37" xfId="0" applyNumberFormat="1" applyFont="1" applyFill="1" applyBorder="1" applyAlignment="1" applyProtection="1">
      <alignment horizontal="center" vertical="center"/>
      <protection hidden="1"/>
    </xf>
    <xf numFmtId="11" fontId="17" fillId="9" borderId="0" xfId="0" applyNumberFormat="1" applyFont="1" applyFill="1" applyAlignment="1" applyProtection="1">
      <alignment horizontal="center" vertical="center"/>
      <protection hidden="1"/>
    </xf>
    <xf numFmtId="11" fontId="17" fillId="9" borderId="38" xfId="0" applyNumberFormat="1" applyFont="1" applyFill="1" applyBorder="1" applyAlignment="1" applyProtection="1">
      <alignment horizontal="center" vertical="center"/>
      <protection hidden="1"/>
    </xf>
    <xf numFmtId="11" fontId="17" fillId="9" borderId="10" xfId="0" applyNumberFormat="1" applyFont="1" applyFill="1" applyBorder="1" applyAlignment="1" applyProtection="1">
      <alignment horizontal="center" vertical="center"/>
      <protection hidden="1"/>
    </xf>
    <xf numFmtId="1" fontId="17" fillId="9" borderId="10" xfId="0" applyNumberFormat="1" applyFont="1" applyFill="1" applyBorder="1" applyAlignment="1" applyProtection="1">
      <alignment horizontal="center" vertical="center"/>
      <protection hidden="1"/>
    </xf>
    <xf numFmtId="170" fontId="17" fillId="8" borderId="37" xfId="0" applyNumberFormat="1" applyFont="1" applyFill="1" applyBorder="1"/>
    <xf numFmtId="170" fontId="17" fillId="8" borderId="0" xfId="0" applyNumberFormat="1" applyFont="1" applyFill="1"/>
    <xf numFmtId="170" fontId="17" fillId="8" borderId="38" xfId="0" applyNumberFormat="1" applyFont="1" applyFill="1" applyBorder="1"/>
    <xf numFmtId="0" fontId="0" fillId="10" borderId="85" xfId="0" applyFill="1" applyBorder="1" applyProtection="1">
      <protection hidden="1"/>
    </xf>
    <xf numFmtId="10" fontId="0" fillId="10" borderId="36" xfId="0" applyNumberFormat="1" applyFill="1" applyBorder="1" applyProtection="1">
      <protection hidden="1"/>
    </xf>
    <xf numFmtId="2" fontId="0" fillId="10" borderId="36" xfId="0" applyNumberFormat="1" applyFill="1" applyBorder="1" applyProtection="1">
      <protection hidden="1"/>
    </xf>
    <xf numFmtId="0" fontId="0" fillId="10" borderId="87" xfId="0" applyFill="1" applyBorder="1" applyProtection="1">
      <protection hidden="1"/>
    </xf>
    <xf numFmtId="10" fontId="0" fillId="10" borderId="48" xfId="0" applyNumberFormat="1" applyFill="1" applyBorder="1" applyProtection="1">
      <protection hidden="1"/>
    </xf>
    <xf numFmtId="2" fontId="0" fillId="10" borderId="48" xfId="0" applyNumberFormat="1" applyFill="1" applyBorder="1" applyProtection="1">
      <protection hidden="1"/>
    </xf>
    <xf numFmtId="0" fontId="38" fillId="3" borderId="68" xfId="0" applyFont="1" applyFill="1" applyBorder="1" applyAlignment="1" applyProtection="1">
      <alignment horizontal="center" vertical="center" textRotation="90" wrapText="1"/>
      <protection hidden="1"/>
    </xf>
    <xf numFmtId="0" fontId="14" fillId="3" borderId="67" xfId="0" applyFont="1" applyFill="1" applyBorder="1" applyAlignment="1" applyProtection="1">
      <alignment horizontal="center" vertical="center" textRotation="90" wrapText="1"/>
      <protection hidden="1"/>
    </xf>
    <xf numFmtId="0" fontId="33" fillId="2" borderId="0" xfId="0" applyFont="1" applyFill="1" applyProtection="1">
      <protection hidden="1"/>
    </xf>
    <xf numFmtId="0" fontId="23" fillId="3" borderId="71" xfId="0" applyFont="1" applyFill="1" applyBorder="1" applyAlignment="1" applyProtection="1">
      <alignment horizontal="center" vertical="center" textRotation="90" wrapText="1"/>
      <protection hidden="1"/>
    </xf>
    <xf numFmtId="0" fontId="46" fillId="3" borderId="66" xfId="0" applyFont="1" applyFill="1" applyBorder="1" applyAlignment="1" applyProtection="1">
      <alignment horizontal="center" vertical="center" textRotation="90" wrapText="1"/>
      <protection hidden="1"/>
    </xf>
    <xf numFmtId="0" fontId="46" fillId="3" borderId="67" xfId="0" applyFont="1" applyFill="1" applyBorder="1" applyAlignment="1" applyProtection="1">
      <alignment horizontal="center" vertical="center" textRotation="90" wrapText="1"/>
      <protection hidden="1"/>
    </xf>
    <xf numFmtId="1" fontId="33" fillId="2" borderId="82" xfId="0" applyNumberFormat="1" applyFont="1" applyFill="1" applyBorder="1" applyAlignment="1" applyProtection="1">
      <alignment horizontal="center"/>
      <protection hidden="1"/>
    </xf>
    <xf numFmtId="1" fontId="33" fillId="2" borderId="83" xfId="0" applyNumberFormat="1" applyFont="1" applyFill="1" applyBorder="1" applyAlignment="1" applyProtection="1">
      <alignment horizontal="center"/>
      <protection hidden="1"/>
    </xf>
    <xf numFmtId="1" fontId="33" fillId="2" borderId="84" xfId="0" applyNumberFormat="1" applyFont="1" applyFill="1" applyBorder="1" applyAlignment="1" applyProtection="1">
      <alignment horizontal="center"/>
      <protection hidden="1"/>
    </xf>
    <xf numFmtId="0" fontId="0" fillId="8" borderId="37" xfId="0" applyFill="1" applyBorder="1" applyAlignment="1" applyProtection="1">
      <alignment horizontal="center"/>
      <protection hidden="1"/>
    </xf>
    <xf numFmtId="11" fontId="0" fillId="9" borderId="37" xfId="0" applyNumberFormat="1" applyFill="1" applyBorder="1"/>
    <xf numFmtId="11" fontId="0" fillId="9" borderId="0" xfId="0" applyNumberFormat="1" applyFill="1"/>
    <xf numFmtId="11" fontId="0" fillId="9" borderId="38" xfId="0" applyNumberFormat="1" applyFill="1" applyBorder="1"/>
    <xf numFmtId="1" fontId="9" fillId="2" borderId="83" xfId="0" applyNumberFormat="1" applyFont="1" applyFill="1" applyBorder="1" applyAlignment="1" applyProtection="1">
      <alignment horizontal="center"/>
      <protection hidden="1"/>
    </xf>
    <xf numFmtId="1" fontId="9" fillId="2" borderId="84" xfId="0" applyNumberFormat="1" applyFont="1" applyFill="1" applyBorder="1" applyAlignment="1" applyProtection="1">
      <alignment horizontal="center"/>
      <protection hidden="1"/>
    </xf>
    <xf numFmtId="0" fontId="0" fillId="8" borderId="93" xfId="0" applyFill="1" applyBorder="1" applyAlignment="1" applyProtection="1">
      <alignment horizontal="center"/>
      <protection hidden="1"/>
    </xf>
    <xf numFmtId="0" fontId="0" fillId="8" borderId="94" xfId="0" applyFill="1" applyBorder="1" applyAlignment="1" applyProtection="1">
      <alignment horizontal="center"/>
      <protection hidden="1"/>
    </xf>
    <xf numFmtId="11" fontId="17" fillId="9" borderId="86" xfId="0" applyNumberFormat="1" applyFont="1" applyFill="1" applyBorder="1" applyAlignment="1" applyProtection="1">
      <alignment horizontal="center" vertical="center"/>
      <protection hidden="1"/>
    </xf>
    <xf numFmtId="11" fontId="0" fillId="8" borderId="94" xfId="0" applyNumberFormat="1" applyFill="1" applyBorder="1"/>
    <xf numFmtId="11" fontId="17" fillId="9" borderId="74" xfId="0" applyNumberFormat="1" applyFont="1" applyFill="1" applyBorder="1" applyAlignment="1" applyProtection="1">
      <alignment horizontal="center" vertical="center"/>
      <protection hidden="1"/>
    </xf>
    <xf numFmtId="11" fontId="0" fillId="8" borderId="95" xfId="0" applyNumberFormat="1" applyFill="1" applyBorder="1"/>
    <xf numFmtId="11" fontId="17" fillId="9" borderId="78" xfId="0" applyNumberFormat="1" applyFont="1" applyFill="1" applyBorder="1" applyAlignment="1" applyProtection="1">
      <alignment horizontal="center" vertical="center"/>
      <protection hidden="1"/>
    </xf>
    <xf numFmtId="11" fontId="0" fillId="8" borderId="96" xfId="0" applyNumberFormat="1" applyFill="1" applyBorder="1"/>
    <xf numFmtId="11" fontId="17" fillId="21" borderId="98" xfId="0" applyNumberFormat="1" applyFont="1" applyFill="1" applyBorder="1" applyAlignment="1" applyProtection="1">
      <alignment horizontal="center" vertical="center"/>
      <protection hidden="1"/>
    </xf>
    <xf numFmtId="11" fontId="0" fillId="21" borderId="97" xfId="0" applyNumberFormat="1" applyFill="1" applyBorder="1"/>
    <xf numFmtId="11" fontId="17" fillId="9" borderId="99" xfId="0" applyNumberFormat="1" applyFont="1" applyFill="1" applyBorder="1" applyAlignment="1" applyProtection="1">
      <alignment horizontal="center" vertical="center"/>
      <protection hidden="1"/>
    </xf>
    <xf numFmtId="11" fontId="17" fillId="9" borderId="98" xfId="0" applyNumberFormat="1" applyFont="1" applyFill="1" applyBorder="1" applyAlignment="1" applyProtection="1">
      <alignment horizontal="center" vertical="center"/>
      <protection hidden="1"/>
    </xf>
    <xf numFmtId="170" fontId="17" fillId="8" borderId="94" xfId="0" applyNumberFormat="1" applyFont="1" applyFill="1" applyBorder="1"/>
    <xf numFmtId="170" fontId="17" fillId="8" borderId="96" xfId="0" applyNumberFormat="1" applyFont="1" applyFill="1" applyBorder="1"/>
    <xf numFmtId="1" fontId="17" fillId="9" borderId="78" xfId="0" applyNumberFormat="1" applyFont="1" applyFill="1" applyBorder="1" applyAlignment="1" applyProtection="1">
      <alignment horizontal="center" vertical="center"/>
      <protection hidden="1"/>
    </xf>
    <xf numFmtId="170" fontId="17" fillId="8" borderId="95" xfId="0" applyNumberFormat="1" applyFont="1" applyFill="1" applyBorder="1"/>
    <xf numFmtId="11" fontId="0" fillId="8" borderId="98" xfId="0" applyNumberFormat="1" applyFill="1" applyBorder="1"/>
    <xf numFmtId="11" fontId="0" fillId="8" borderId="91" xfId="0" applyNumberFormat="1" applyFill="1" applyBorder="1"/>
    <xf numFmtId="1" fontId="17" fillId="9" borderId="29" xfId="0" applyNumberFormat="1" applyFont="1" applyFill="1" applyBorder="1" applyAlignment="1" applyProtection="1">
      <alignment horizontal="center" vertical="center"/>
      <protection hidden="1"/>
    </xf>
    <xf numFmtId="1" fontId="17" fillId="9" borderId="100" xfId="0" applyNumberFormat="1" applyFont="1" applyFill="1" applyBorder="1" applyAlignment="1" applyProtection="1">
      <alignment horizontal="center" vertical="center"/>
      <protection hidden="1"/>
    </xf>
    <xf numFmtId="11" fontId="0" fillId="8" borderId="101" xfId="0" applyNumberFormat="1" applyFill="1" applyBorder="1"/>
    <xf numFmtId="11" fontId="0" fillId="8" borderId="100" xfId="0" applyNumberFormat="1" applyFill="1" applyBorder="1"/>
    <xf numFmtId="1" fontId="17" fillId="9" borderId="102" xfId="0" applyNumberFormat="1" applyFont="1" applyFill="1" applyBorder="1" applyAlignment="1" applyProtection="1">
      <alignment horizontal="center" vertical="center"/>
      <protection hidden="1"/>
    </xf>
    <xf numFmtId="0" fontId="0" fillId="10" borderId="0" xfId="0" applyFill="1" applyAlignment="1" applyProtection="1">
      <alignment horizontal="center"/>
      <protection hidden="1"/>
    </xf>
    <xf numFmtId="0" fontId="0" fillId="10" borderId="19" xfId="0" applyFill="1" applyBorder="1" applyAlignment="1" applyProtection="1">
      <alignment horizontal="center"/>
      <protection hidden="1"/>
    </xf>
    <xf numFmtId="0" fontId="0" fillId="10" borderId="16" xfId="0" applyFill="1" applyBorder="1" applyAlignment="1" applyProtection="1">
      <alignment horizontal="center"/>
      <protection hidden="1"/>
    </xf>
    <xf numFmtId="0" fontId="0" fillId="10" borderId="15" xfId="0" applyFill="1" applyBorder="1" applyAlignment="1" applyProtection="1">
      <alignment horizontal="center"/>
      <protection hidden="1"/>
    </xf>
    <xf numFmtId="0" fontId="0" fillId="3" borderId="105" xfId="0" applyFill="1" applyBorder="1" applyProtection="1">
      <protection hidden="1"/>
    </xf>
    <xf numFmtId="0" fontId="0" fillId="3" borderId="103" xfId="0" applyFill="1" applyBorder="1" applyProtection="1">
      <protection hidden="1"/>
    </xf>
    <xf numFmtId="0" fontId="0" fillId="3" borderId="106" xfId="0" applyFill="1" applyBorder="1" applyProtection="1">
      <protection hidden="1"/>
    </xf>
    <xf numFmtId="49" fontId="0" fillId="2" borderId="0" xfId="0" applyNumberFormat="1" applyFill="1" applyProtection="1">
      <protection hidden="1"/>
    </xf>
    <xf numFmtId="0" fontId="0" fillId="2" borderId="16" xfId="0" applyFill="1" applyBorder="1" applyProtection="1">
      <protection hidden="1"/>
    </xf>
    <xf numFmtId="0" fontId="27" fillId="2" borderId="1" xfId="0" applyFont="1" applyFill="1" applyBorder="1" applyAlignment="1" applyProtection="1">
      <alignment horizontal="right"/>
      <protection hidden="1"/>
    </xf>
    <xf numFmtId="0" fontId="0" fillId="13" borderId="1" xfId="0" applyFill="1" applyBorder="1" applyProtection="1">
      <protection hidden="1"/>
    </xf>
    <xf numFmtId="0" fontId="2" fillId="0" borderId="18" xfId="0" applyFont="1" applyBorder="1"/>
    <xf numFmtId="0" fontId="17" fillId="21" borderId="98" xfId="0" applyFont="1" applyFill="1" applyBorder="1" applyAlignment="1" applyProtection="1">
      <alignment horizontal="center" vertical="center"/>
      <protection hidden="1"/>
    </xf>
    <xf numFmtId="0" fontId="17" fillId="9" borderId="74" xfId="0" applyFont="1" applyFill="1" applyBorder="1" applyAlignment="1" applyProtection="1">
      <alignment horizontal="center" vertical="center"/>
      <protection hidden="1"/>
    </xf>
    <xf numFmtId="0" fontId="17" fillId="9" borderId="78" xfId="0" applyFont="1" applyFill="1" applyBorder="1" applyAlignment="1" applyProtection="1">
      <alignment horizontal="center" vertical="center"/>
      <protection hidden="1"/>
    </xf>
    <xf numFmtId="0" fontId="0" fillId="2" borderId="86" xfId="0" applyFill="1" applyBorder="1" applyAlignment="1" applyProtection="1">
      <alignment horizontal="center"/>
      <protection hidden="1"/>
    </xf>
    <xf numFmtId="0" fontId="0" fillId="2" borderId="48" xfId="0" applyFill="1" applyBorder="1" applyAlignment="1" applyProtection="1">
      <alignment horizontal="center"/>
      <protection hidden="1"/>
    </xf>
    <xf numFmtId="0" fontId="0" fillId="2" borderId="74" xfId="0" applyFill="1" applyBorder="1" applyAlignment="1" applyProtection="1">
      <alignment horizontal="center"/>
      <protection hidden="1"/>
    </xf>
    <xf numFmtId="0" fontId="0" fillId="10" borderId="93" xfId="0" applyFill="1" applyBorder="1" applyAlignment="1" applyProtection="1">
      <alignment horizontal="center"/>
      <protection hidden="1"/>
    </xf>
    <xf numFmtId="0" fontId="0" fillId="2" borderId="78" xfId="0" applyFill="1" applyBorder="1" applyAlignment="1" applyProtection="1">
      <alignment horizontal="center"/>
      <protection hidden="1"/>
    </xf>
    <xf numFmtId="0" fontId="0" fillId="22" borderId="0" xfId="0" applyFill="1" applyAlignment="1" applyProtection="1">
      <alignment vertical="center"/>
      <protection hidden="1"/>
    </xf>
    <xf numFmtId="0" fontId="9" fillId="22" borderId="37" xfId="0" applyFont="1" applyFill="1" applyBorder="1" applyAlignment="1" applyProtection="1">
      <alignment horizontal="center" vertical="center"/>
      <protection hidden="1"/>
    </xf>
    <xf numFmtId="9" fontId="0" fillId="22" borderId="0" xfId="23" applyFont="1" applyFill="1" applyBorder="1" applyAlignment="1" applyProtection="1">
      <alignment horizontal="center" vertical="center"/>
      <protection hidden="1"/>
    </xf>
    <xf numFmtId="164" fontId="33" fillId="2" borderId="69" xfId="0" applyNumberFormat="1" applyFont="1" applyFill="1" applyBorder="1" applyAlignment="1" applyProtection="1">
      <alignment horizontal="center" vertical="center"/>
      <protection hidden="1"/>
    </xf>
    <xf numFmtId="0" fontId="0" fillId="3" borderId="108" xfId="0" applyFill="1" applyBorder="1" applyProtection="1">
      <protection hidden="1"/>
    </xf>
    <xf numFmtId="0" fontId="8" fillId="2" borderId="109" xfId="0" applyFont="1" applyFill="1" applyBorder="1" applyAlignment="1" applyProtection="1">
      <alignment vertical="center"/>
      <protection hidden="1"/>
    </xf>
    <xf numFmtId="0" fontId="8" fillId="2" borderId="110" xfId="0" applyFont="1" applyFill="1" applyBorder="1" applyAlignment="1" applyProtection="1">
      <alignment vertical="center"/>
      <protection hidden="1"/>
    </xf>
    <xf numFmtId="0" fontId="0" fillId="2" borderId="0" xfId="0" applyFill="1" applyAlignment="1" applyProtection="1">
      <alignment horizontal="center" wrapText="1"/>
      <protection hidden="1"/>
    </xf>
    <xf numFmtId="0" fontId="0" fillId="2" borderId="0" xfId="0" applyFill="1" applyAlignment="1" applyProtection="1">
      <alignment wrapText="1"/>
      <protection hidden="1"/>
    </xf>
    <xf numFmtId="1" fontId="8" fillId="3" borderId="0" xfId="0" applyNumberFormat="1" applyFont="1" applyFill="1" applyAlignment="1" applyProtection="1">
      <alignment horizontal="center"/>
      <protection hidden="1"/>
    </xf>
    <xf numFmtId="0" fontId="27" fillId="2" borderId="15" xfId="0" applyFont="1" applyFill="1" applyBorder="1" applyAlignment="1" applyProtection="1">
      <alignment horizontal="center"/>
      <protection hidden="1"/>
    </xf>
    <xf numFmtId="0" fontId="27" fillId="2" borderId="16" xfId="0" applyFont="1" applyFill="1" applyBorder="1" applyAlignment="1" applyProtection="1">
      <alignment horizontal="center"/>
      <protection hidden="1"/>
    </xf>
    <xf numFmtId="0" fontId="27" fillId="2" borderId="10" xfId="0" applyFont="1" applyFill="1" applyBorder="1" applyAlignment="1" applyProtection="1">
      <alignment horizontal="center"/>
      <protection hidden="1"/>
    </xf>
    <xf numFmtId="0" fontId="0" fillId="3" borderId="18" xfId="0" applyFill="1" applyBorder="1" applyProtection="1">
      <protection hidden="1"/>
    </xf>
    <xf numFmtId="0" fontId="0" fillId="3" borderId="110" xfId="0" applyFill="1" applyBorder="1" applyProtection="1">
      <protection hidden="1"/>
    </xf>
    <xf numFmtId="2" fontId="33" fillId="2" borderId="83" xfId="0" applyNumberFormat="1" applyFont="1" applyFill="1" applyBorder="1" applyAlignment="1" applyProtection="1">
      <alignment horizontal="center"/>
      <protection hidden="1"/>
    </xf>
    <xf numFmtId="2" fontId="33" fillId="2" borderId="84" xfId="0" applyNumberFormat="1" applyFont="1" applyFill="1" applyBorder="1" applyAlignment="1" applyProtection="1">
      <alignment horizontal="center"/>
      <protection hidden="1"/>
    </xf>
    <xf numFmtId="164" fontId="9" fillId="2" borderId="6" xfId="0" applyNumberFormat="1" applyFont="1" applyFill="1" applyBorder="1" applyAlignment="1" applyProtection="1">
      <alignment horizontal="center" vertical="center"/>
      <protection hidden="1"/>
    </xf>
    <xf numFmtId="2" fontId="9" fillId="2" borderId="0" xfId="0" applyNumberFormat="1" applyFont="1" applyFill="1" applyAlignment="1" applyProtection="1">
      <alignment horizontal="center"/>
      <protection hidden="1"/>
    </xf>
    <xf numFmtId="2" fontId="9" fillId="2" borderId="61" xfId="0" applyNumberFormat="1" applyFont="1" applyFill="1" applyBorder="1" applyAlignment="1" applyProtection="1">
      <alignment horizontal="center"/>
      <protection hidden="1"/>
    </xf>
    <xf numFmtId="2" fontId="9" fillId="2" borderId="63" xfId="0" applyNumberFormat="1" applyFont="1" applyFill="1" applyBorder="1" applyAlignment="1" applyProtection="1">
      <alignment horizontal="center"/>
      <protection hidden="1"/>
    </xf>
    <xf numFmtId="0" fontId="38" fillId="3" borderId="82" xfId="0" applyFont="1" applyFill="1" applyBorder="1" applyAlignment="1" applyProtection="1">
      <alignment horizontal="center" vertical="center" textRotation="90" wrapText="1"/>
      <protection hidden="1"/>
    </xf>
    <xf numFmtId="2" fontId="9" fillId="2" borderId="83" xfId="0" applyNumberFormat="1" applyFont="1" applyFill="1" applyBorder="1" applyAlignment="1" applyProtection="1">
      <alignment horizontal="center"/>
      <protection hidden="1"/>
    </xf>
    <xf numFmtId="2" fontId="9" fillId="2" borderId="84" xfId="0" applyNumberFormat="1" applyFont="1" applyFill="1" applyBorder="1" applyAlignment="1" applyProtection="1">
      <alignment horizontal="center"/>
      <protection hidden="1"/>
    </xf>
    <xf numFmtId="0" fontId="9" fillId="18" borderId="36" xfId="0" applyFont="1" applyFill="1" applyBorder="1" applyProtection="1">
      <protection hidden="1"/>
    </xf>
    <xf numFmtId="2" fontId="9" fillId="18" borderId="1" xfId="0" applyNumberFormat="1" applyFont="1" applyFill="1" applyBorder="1" applyProtection="1">
      <protection hidden="1"/>
    </xf>
    <xf numFmtId="0" fontId="9" fillId="18" borderId="1" xfId="0" applyFont="1" applyFill="1" applyBorder="1" applyProtection="1">
      <protection hidden="1"/>
    </xf>
    <xf numFmtId="0" fontId="48" fillId="24" borderId="1" xfId="0" applyFont="1" applyFill="1" applyBorder="1" applyAlignment="1" applyProtection="1">
      <alignment horizontal="center" vertical="center"/>
      <protection hidden="1"/>
    </xf>
    <xf numFmtId="0" fontId="49" fillId="2" borderId="0" xfId="0" applyFont="1" applyFill="1" applyProtection="1">
      <protection hidden="1"/>
    </xf>
    <xf numFmtId="0" fontId="34" fillId="2" borderId="1" xfId="0" applyFont="1" applyFill="1" applyBorder="1" applyAlignment="1" applyProtection="1">
      <alignment horizontal="left"/>
      <protection hidden="1"/>
    </xf>
    <xf numFmtId="0" fontId="9" fillId="2" borderId="1" xfId="0" applyFont="1" applyFill="1" applyBorder="1" applyProtection="1">
      <protection hidden="1"/>
    </xf>
    <xf numFmtId="9" fontId="34" fillId="2" borderId="1" xfId="23" applyFont="1" applyFill="1" applyBorder="1" applyAlignment="1" applyProtection="1">
      <alignment horizontal="center"/>
      <protection hidden="1"/>
    </xf>
    <xf numFmtId="1" fontId="34" fillId="2" borderId="1" xfId="0" applyNumberFormat="1" applyFont="1" applyFill="1" applyBorder="1" applyAlignment="1" applyProtection="1">
      <alignment horizontal="center"/>
      <protection hidden="1"/>
    </xf>
    <xf numFmtId="1" fontId="9" fillId="2" borderId="1" xfId="0" applyNumberFormat="1" applyFont="1" applyFill="1" applyBorder="1" applyProtection="1">
      <protection hidden="1"/>
    </xf>
    <xf numFmtId="0" fontId="9" fillId="2" borderId="75" xfId="0" applyFont="1" applyFill="1" applyBorder="1" applyProtection="1">
      <protection hidden="1"/>
    </xf>
    <xf numFmtId="0" fontId="9" fillId="2" borderId="77" xfId="0" applyFont="1" applyFill="1" applyBorder="1" applyProtection="1">
      <protection hidden="1"/>
    </xf>
    <xf numFmtId="0" fontId="9" fillId="18" borderId="47" xfId="0" applyFont="1" applyFill="1" applyBorder="1" applyAlignment="1" applyProtection="1">
      <alignment horizontal="center"/>
      <protection hidden="1"/>
    </xf>
    <xf numFmtId="0" fontId="38" fillId="18" borderId="16" xfId="0" applyFont="1" applyFill="1" applyBorder="1" applyAlignment="1" applyProtection="1">
      <alignment horizontal="center"/>
      <protection hidden="1"/>
    </xf>
    <xf numFmtId="0" fontId="9" fillId="18" borderId="36" xfId="0" applyFont="1" applyFill="1" applyBorder="1" applyAlignment="1" applyProtection="1">
      <alignment horizontal="center"/>
      <protection hidden="1"/>
    </xf>
    <xf numFmtId="2" fontId="9" fillId="2" borderId="47" xfId="0" applyNumberFormat="1" applyFont="1" applyFill="1" applyBorder="1" applyProtection="1">
      <protection hidden="1"/>
    </xf>
    <xf numFmtId="2" fontId="9" fillId="2" borderId="36" xfId="0" applyNumberFormat="1" applyFont="1" applyFill="1" applyBorder="1" applyProtection="1">
      <protection hidden="1"/>
    </xf>
    <xf numFmtId="0" fontId="0" fillId="2" borderId="0" xfId="0" applyFill="1" applyAlignment="1" applyProtection="1">
      <alignment horizontal="right"/>
      <protection hidden="1"/>
    </xf>
    <xf numFmtId="1" fontId="0" fillId="2" borderId="0" xfId="0" applyNumberFormat="1" applyFill="1" applyProtection="1">
      <protection hidden="1"/>
    </xf>
    <xf numFmtId="1" fontId="0" fillId="2" borderId="0" xfId="0" applyNumberFormat="1" applyFill="1" applyAlignment="1" applyProtection="1">
      <alignment horizontal="right"/>
      <protection hidden="1"/>
    </xf>
    <xf numFmtId="49" fontId="50" fillId="2" borderId="0" xfId="0" applyNumberFormat="1" applyFont="1" applyFill="1" applyProtection="1">
      <protection hidden="1"/>
    </xf>
    <xf numFmtId="0" fontId="0" fillId="25" borderId="0" xfId="0" applyFill="1" applyProtection="1">
      <protection hidden="1"/>
    </xf>
    <xf numFmtId="0" fontId="51" fillId="2" borderId="0" xfId="0" applyFont="1" applyFill="1" applyProtection="1">
      <protection hidden="1"/>
    </xf>
    <xf numFmtId="164" fontId="9" fillId="26" borderId="0" xfId="0" applyNumberFormat="1" applyFont="1" applyFill="1" applyAlignment="1" applyProtection="1">
      <alignment horizontal="center" vertical="center"/>
      <protection hidden="1"/>
    </xf>
    <xf numFmtId="164" fontId="9" fillId="26" borderId="60" xfId="0" applyNumberFormat="1" applyFont="1" applyFill="1" applyBorder="1" applyAlignment="1" applyProtection="1">
      <alignment horizontal="center" vertical="center"/>
      <protection hidden="1"/>
    </xf>
    <xf numFmtId="164" fontId="9" fillId="26" borderId="62" xfId="0" applyNumberFormat="1" applyFont="1" applyFill="1" applyBorder="1" applyAlignment="1" applyProtection="1">
      <alignment horizontal="center" vertical="center"/>
      <protection hidden="1"/>
    </xf>
    <xf numFmtId="0" fontId="2" fillId="2" borderId="59" xfId="0" applyFont="1" applyFill="1" applyBorder="1" applyAlignment="1" applyProtection="1">
      <alignment horizontal="right"/>
      <protection hidden="1"/>
    </xf>
    <xf numFmtId="0" fontId="46" fillId="2" borderId="0" xfId="0" applyFont="1" applyFill="1" applyProtection="1">
      <protection hidden="1"/>
    </xf>
    <xf numFmtId="166" fontId="46" fillId="2" borderId="0" xfId="0" applyNumberFormat="1" applyFont="1" applyFill="1" applyAlignment="1" applyProtection="1">
      <alignment horizontal="right"/>
      <protection hidden="1"/>
    </xf>
    <xf numFmtId="0" fontId="1" fillId="3" borderId="113" xfId="0" applyFont="1" applyFill="1" applyBorder="1" applyAlignment="1" applyProtection="1">
      <alignment horizontal="left"/>
      <protection hidden="1"/>
    </xf>
    <xf numFmtId="2" fontId="0" fillId="2" borderId="0" xfId="0" applyNumberFormat="1" applyFill="1" applyAlignment="1" applyProtection="1">
      <alignment horizontal="center"/>
      <protection hidden="1"/>
    </xf>
    <xf numFmtId="0" fontId="0" fillId="2" borderId="0" xfId="0" applyFill="1" applyProtection="1">
      <protection locked="0"/>
    </xf>
    <xf numFmtId="0" fontId="0" fillId="2" borderId="0" xfId="0" applyFill="1"/>
    <xf numFmtId="0" fontId="1" fillId="3" borderId="2" xfId="0" applyFont="1" applyFill="1" applyBorder="1" applyAlignment="1">
      <alignment horizontal="center" vertical="center" textRotation="90" wrapText="1"/>
    </xf>
    <xf numFmtId="0" fontId="1" fillId="3" borderId="0" xfId="0" applyFont="1" applyFill="1" applyAlignment="1">
      <alignment horizontal="center" vertical="center" textRotation="90" wrapText="1"/>
    </xf>
    <xf numFmtId="0" fontId="0" fillId="26" borderId="0" xfId="0" applyFill="1" applyProtection="1">
      <protection hidden="1"/>
    </xf>
    <xf numFmtId="0" fontId="1" fillId="3" borderId="0" xfId="0" applyFont="1" applyFill="1"/>
    <xf numFmtId="0" fontId="0" fillId="2" borderId="48" xfId="0" applyFill="1" applyBorder="1" applyAlignment="1" applyProtection="1">
      <alignment vertical="center" textRotation="90" wrapText="1"/>
      <protection hidden="1"/>
    </xf>
    <xf numFmtId="0" fontId="0" fillId="2" borderId="36" xfId="0" applyFill="1" applyBorder="1" applyAlignment="1" applyProtection="1">
      <alignment vertical="center"/>
      <protection hidden="1"/>
    </xf>
    <xf numFmtId="0" fontId="0" fillId="2" borderId="36" xfId="0" applyFill="1" applyBorder="1" applyAlignment="1" applyProtection="1">
      <alignment vertical="center" wrapText="1"/>
      <protection hidden="1"/>
    </xf>
    <xf numFmtId="164" fontId="0" fillId="2" borderId="0" xfId="0" applyNumberFormat="1" applyFill="1" applyAlignment="1" applyProtection="1">
      <alignment horizontal="center"/>
      <protection hidden="1"/>
    </xf>
    <xf numFmtId="2" fontId="0" fillId="2" borderId="47" xfId="0" applyNumberFormat="1" applyFill="1" applyBorder="1" applyAlignment="1" applyProtection="1">
      <alignment horizontal="center"/>
      <protection hidden="1"/>
    </xf>
    <xf numFmtId="164" fontId="33" fillId="2" borderId="5" xfId="0" applyNumberFormat="1" applyFont="1" applyFill="1" applyBorder="1" applyAlignment="1" applyProtection="1">
      <alignment horizontal="center" vertical="center"/>
      <protection hidden="1"/>
    </xf>
    <xf numFmtId="164" fontId="33" fillId="2" borderId="53" xfId="0" applyNumberFormat="1" applyFont="1" applyFill="1" applyBorder="1" applyAlignment="1" applyProtection="1">
      <alignment horizontal="center" vertical="center"/>
      <protection hidden="1"/>
    </xf>
    <xf numFmtId="1" fontId="0" fillId="2" borderId="18" xfId="0" applyNumberFormat="1" applyFill="1" applyBorder="1" applyProtection="1">
      <protection hidden="1"/>
    </xf>
    <xf numFmtId="164" fontId="0" fillId="2" borderId="47" xfId="0" applyNumberFormat="1" applyFill="1" applyBorder="1" applyAlignment="1" applyProtection="1">
      <alignment horizontal="center"/>
      <protection hidden="1"/>
    </xf>
    <xf numFmtId="0" fontId="0" fillId="2" borderId="48" xfId="0" applyFill="1" applyBorder="1" applyAlignment="1" applyProtection="1">
      <alignment horizontal="center" vertical="center" textRotation="90" wrapText="1"/>
      <protection hidden="1"/>
    </xf>
    <xf numFmtId="0" fontId="0" fillId="2" borderId="47" xfId="0" applyFill="1" applyBorder="1" applyAlignment="1" applyProtection="1">
      <alignment horizontal="center" vertical="center" textRotation="90" wrapText="1"/>
      <protection hidden="1"/>
    </xf>
    <xf numFmtId="0" fontId="0" fillId="2" borderId="36" xfId="0" applyFill="1" applyBorder="1" applyAlignment="1" applyProtection="1">
      <alignment horizontal="center" vertical="center" textRotation="90" wrapText="1"/>
      <protection hidden="1"/>
    </xf>
    <xf numFmtId="0" fontId="37" fillId="4" borderId="79" xfId="0" applyFont="1" applyFill="1" applyBorder="1" applyAlignment="1" applyProtection="1">
      <alignment horizontal="center" vertical="center" wrapText="1"/>
      <protection hidden="1"/>
    </xf>
    <xf numFmtId="0" fontId="37" fillId="4" borderId="80" xfId="0" applyFont="1" applyFill="1" applyBorder="1" applyAlignment="1" applyProtection="1">
      <alignment horizontal="center" vertical="center" wrapText="1"/>
      <protection hidden="1"/>
    </xf>
    <xf numFmtId="0" fontId="37" fillId="4" borderId="18" xfId="0" applyFont="1" applyFill="1" applyBorder="1" applyAlignment="1" applyProtection="1">
      <alignment horizontal="center" vertical="center" wrapText="1"/>
      <protection hidden="1"/>
    </xf>
    <xf numFmtId="0" fontId="37" fillId="4" borderId="19" xfId="0" applyFont="1" applyFill="1" applyBorder="1" applyAlignment="1" applyProtection="1">
      <alignment horizontal="center" vertical="center" wrapText="1"/>
      <protection hidden="1"/>
    </xf>
    <xf numFmtId="0" fontId="37" fillId="4" borderId="20" xfId="0" applyFont="1" applyFill="1" applyBorder="1" applyAlignment="1" applyProtection="1">
      <alignment horizontal="center" vertical="center" wrapText="1"/>
      <protection hidden="1"/>
    </xf>
    <xf numFmtId="0" fontId="37" fillId="4" borderId="22" xfId="0" applyFont="1" applyFill="1" applyBorder="1" applyAlignment="1" applyProtection="1">
      <alignment horizontal="center" vertical="center" wrapText="1"/>
      <protection hidden="1"/>
    </xf>
    <xf numFmtId="0" fontId="0" fillId="8" borderId="15" xfId="0" applyFill="1" applyBorder="1" applyAlignment="1" applyProtection="1">
      <alignment horizontal="left"/>
      <protection hidden="1"/>
    </xf>
    <xf numFmtId="0" fontId="0" fillId="8" borderId="16" xfId="0" applyFill="1" applyBorder="1" applyAlignment="1" applyProtection="1">
      <alignment horizontal="left"/>
      <protection hidden="1"/>
    </xf>
    <xf numFmtId="0" fontId="0" fillId="8" borderId="50" xfId="0" applyFill="1" applyBorder="1" applyAlignment="1" applyProtection="1">
      <alignment horizontal="left"/>
      <protection hidden="1"/>
    </xf>
    <xf numFmtId="0" fontId="0" fillId="22" borderId="112" xfId="0" applyFill="1" applyBorder="1" applyAlignment="1" applyProtection="1">
      <alignment horizontal="left"/>
      <protection hidden="1"/>
    </xf>
    <xf numFmtId="0" fontId="0" fillId="22" borderId="0" xfId="0" applyFill="1" applyAlignment="1" applyProtection="1">
      <alignment horizontal="left"/>
      <protection hidden="1"/>
    </xf>
    <xf numFmtId="0" fontId="0" fillId="22" borderId="111" xfId="0" applyFill="1" applyBorder="1" applyAlignment="1" applyProtection="1">
      <alignment horizontal="left"/>
      <protection hidden="1"/>
    </xf>
    <xf numFmtId="0" fontId="0" fillId="22" borderId="37" xfId="0" applyFill="1" applyBorder="1" applyAlignment="1" applyProtection="1">
      <alignment horizontal="left"/>
      <protection hidden="1"/>
    </xf>
    <xf numFmtId="166" fontId="8" fillId="4" borderId="51" xfId="0" applyNumberFormat="1" applyFont="1" applyFill="1" applyBorder="1" applyAlignment="1" applyProtection="1">
      <alignment horizontal="center"/>
      <protection locked="0"/>
    </xf>
    <xf numFmtId="166" fontId="8" fillId="4" borderId="52" xfId="0" applyNumberFormat="1" applyFont="1" applyFill="1" applyBorder="1" applyAlignment="1" applyProtection="1">
      <alignment horizontal="center"/>
      <protection locked="0"/>
    </xf>
    <xf numFmtId="0" fontId="42" fillId="8" borderId="17" xfId="0" applyFont="1" applyFill="1" applyBorder="1" applyAlignment="1" applyProtection="1">
      <alignment horizontal="center" vertical="center"/>
      <protection hidden="1"/>
    </xf>
    <xf numFmtId="0" fontId="42" fillId="8" borderId="37" xfId="0" applyFont="1" applyFill="1" applyBorder="1" applyAlignment="1" applyProtection="1">
      <alignment horizontal="center" vertical="center"/>
      <protection hidden="1"/>
    </xf>
    <xf numFmtId="0" fontId="42" fillId="8" borderId="21" xfId="0" applyFont="1" applyFill="1" applyBorder="1" applyAlignment="1" applyProtection="1">
      <alignment horizontal="center" vertical="center"/>
      <protection hidden="1"/>
    </xf>
    <xf numFmtId="0" fontId="10" fillId="18" borderId="45" xfId="0" applyFont="1" applyFill="1" applyBorder="1" applyAlignment="1" applyProtection="1">
      <alignment horizontal="center"/>
      <protection hidden="1"/>
    </xf>
    <xf numFmtId="0" fontId="10" fillId="18" borderId="44" xfId="0" applyFont="1" applyFill="1" applyBorder="1" applyAlignment="1" applyProtection="1">
      <alignment horizontal="center"/>
      <protection hidden="1"/>
    </xf>
    <xf numFmtId="0" fontId="6" fillId="8" borderId="15" xfId="0" applyFont="1" applyFill="1" applyBorder="1" applyAlignment="1" applyProtection="1">
      <alignment horizontal="center"/>
      <protection hidden="1"/>
    </xf>
    <xf numFmtId="0" fontId="6" fillId="8" borderId="16" xfId="0" applyFont="1" applyFill="1" applyBorder="1" applyAlignment="1" applyProtection="1">
      <alignment horizontal="center"/>
      <protection hidden="1"/>
    </xf>
    <xf numFmtId="0" fontId="6" fillId="8" borderId="50" xfId="0" applyFont="1" applyFill="1" applyBorder="1" applyAlignment="1" applyProtection="1">
      <alignment horizontal="center"/>
      <protection hidden="1"/>
    </xf>
    <xf numFmtId="0" fontId="10" fillId="8" borderId="15" xfId="0" applyFont="1" applyFill="1" applyBorder="1" applyAlignment="1" applyProtection="1">
      <alignment horizontal="center"/>
      <protection hidden="1"/>
    </xf>
    <xf numFmtId="0" fontId="10" fillId="8" borderId="16" xfId="0" applyFont="1" applyFill="1" applyBorder="1" applyAlignment="1" applyProtection="1">
      <alignment horizontal="center"/>
      <protection hidden="1"/>
    </xf>
    <xf numFmtId="0" fontId="10" fillId="8" borderId="50" xfId="0" applyFont="1" applyFill="1" applyBorder="1" applyAlignment="1" applyProtection="1">
      <alignment horizontal="center"/>
      <protection hidden="1"/>
    </xf>
    <xf numFmtId="0" fontId="6" fillId="4" borderId="16" xfId="0" applyFont="1" applyFill="1" applyBorder="1" applyAlignment="1" applyProtection="1">
      <alignment horizontal="center"/>
      <protection locked="0"/>
    </xf>
    <xf numFmtId="0" fontId="6" fillId="4" borderId="10" xfId="0" applyFont="1" applyFill="1" applyBorder="1" applyAlignment="1" applyProtection="1">
      <alignment horizontal="center"/>
      <protection locked="0"/>
    </xf>
    <xf numFmtId="0" fontId="8" fillId="4" borderId="16" xfId="0" applyFont="1" applyFill="1" applyBorder="1" applyAlignment="1" applyProtection="1">
      <alignment horizontal="center"/>
      <protection locked="0"/>
    </xf>
    <xf numFmtId="0" fontId="8" fillId="4" borderId="10" xfId="0" applyFont="1" applyFill="1" applyBorder="1" applyAlignment="1" applyProtection="1">
      <alignment horizontal="center"/>
      <protection locked="0"/>
    </xf>
    <xf numFmtId="0" fontId="6" fillId="4" borderId="15" xfId="0" applyFont="1" applyFill="1" applyBorder="1" applyAlignment="1" applyProtection="1">
      <alignment horizontal="center"/>
      <protection locked="0"/>
    </xf>
    <xf numFmtId="0" fontId="0" fillId="2" borderId="17" xfId="0" applyFill="1" applyBorder="1" applyAlignment="1" applyProtection="1">
      <alignment horizontal="center" vertical="center" textRotation="90" wrapText="1"/>
      <protection hidden="1"/>
    </xf>
    <xf numFmtId="0" fontId="0" fillId="2" borderId="18" xfId="0" applyFill="1" applyBorder="1" applyAlignment="1" applyProtection="1">
      <alignment horizontal="center" vertical="center" textRotation="90" wrapText="1"/>
      <protection hidden="1"/>
    </xf>
    <xf numFmtId="0" fontId="0" fillId="2" borderId="20" xfId="0" applyFill="1" applyBorder="1" applyAlignment="1" applyProtection="1">
      <alignment horizontal="center" vertical="center" textRotation="90" wrapText="1"/>
      <protection hidden="1"/>
    </xf>
    <xf numFmtId="0" fontId="41" fillId="8" borderId="20" xfId="0" applyFont="1" applyFill="1" applyBorder="1" applyAlignment="1" applyProtection="1">
      <alignment horizontal="center" vertical="center"/>
      <protection hidden="1"/>
    </xf>
    <xf numFmtId="0" fontId="41" fillId="8" borderId="38" xfId="0" applyFont="1" applyFill="1" applyBorder="1" applyAlignment="1" applyProtection="1">
      <alignment horizontal="center" vertical="center"/>
      <protection hidden="1"/>
    </xf>
    <xf numFmtId="0" fontId="41" fillId="8" borderId="22" xfId="0" applyFont="1" applyFill="1" applyBorder="1" applyAlignment="1" applyProtection="1">
      <alignment horizontal="center" vertical="center"/>
      <protection hidden="1"/>
    </xf>
    <xf numFmtId="0" fontId="1" fillId="3" borderId="55" xfId="0" applyFont="1" applyFill="1" applyBorder="1" applyAlignment="1" applyProtection="1">
      <alignment horizontal="left" vertical="top"/>
      <protection hidden="1"/>
    </xf>
    <xf numFmtId="0" fontId="1" fillId="3" borderId="56" xfId="0" applyFont="1" applyFill="1" applyBorder="1" applyAlignment="1" applyProtection="1">
      <alignment horizontal="left" vertical="top"/>
      <protection hidden="1"/>
    </xf>
    <xf numFmtId="0" fontId="47" fillId="3" borderId="56" xfId="0" applyFont="1" applyFill="1" applyBorder="1" applyAlignment="1" applyProtection="1">
      <alignment horizontal="left" vertical="top"/>
      <protection hidden="1"/>
    </xf>
    <xf numFmtId="0" fontId="47" fillId="3" borderId="56" xfId="0" applyFont="1" applyFill="1" applyBorder="1" applyAlignment="1" applyProtection="1">
      <alignment horizontal="center" vertical="center"/>
      <protection hidden="1"/>
    </xf>
    <xf numFmtId="0" fontId="47" fillId="3" borderId="57" xfId="0" applyFont="1" applyFill="1" applyBorder="1" applyAlignment="1" applyProtection="1">
      <alignment horizontal="center" vertical="center"/>
      <protection hidden="1"/>
    </xf>
    <xf numFmtId="0" fontId="37" fillId="4" borderId="104" xfId="0" applyFont="1" applyFill="1" applyBorder="1" applyAlignment="1" applyProtection="1">
      <alignment horizontal="center" vertical="center" wrapText="1"/>
      <protection hidden="1"/>
    </xf>
    <xf numFmtId="0" fontId="37" fillId="4" borderId="0" xfId="0" applyFont="1" applyFill="1" applyAlignment="1" applyProtection="1">
      <alignment horizontal="center" vertical="center" wrapText="1"/>
      <protection hidden="1"/>
    </xf>
    <xf numFmtId="0" fontId="37" fillId="4" borderId="38" xfId="0" applyFont="1" applyFill="1" applyBorder="1" applyAlignment="1" applyProtection="1">
      <alignment horizontal="center" vertical="center" wrapText="1"/>
      <protection hidden="1"/>
    </xf>
    <xf numFmtId="0" fontId="0" fillId="8" borderId="1" xfId="0" applyFill="1" applyBorder="1" applyAlignment="1" applyProtection="1">
      <alignment horizontal="left"/>
      <protection hidden="1"/>
    </xf>
    <xf numFmtId="0" fontId="0" fillId="8" borderId="49" xfId="0" applyFill="1" applyBorder="1" applyAlignment="1" applyProtection="1">
      <alignment horizontal="left"/>
      <protection hidden="1"/>
    </xf>
    <xf numFmtId="0" fontId="27" fillId="8" borderId="45" xfId="0" applyFont="1" applyFill="1" applyBorder="1" applyAlignment="1" applyProtection="1">
      <alignment horizontal="center"/>
      <protection hidden="1"/>
    </xf>
    <xf numFmtId="0" fontId="27" fillId="8" borderId="44" xfId="0" applyFont="1" applyFill="1" applyBorder="1" applyAlignment="1" applyProtection="1">
      <alignment horizontal="center"/>
      <protection hidden="1"/>
    </xf>
    <xf numFmtId="1" fontId="8" fillId="4" borderId="51" xfId="0" applyNumberFormat="1" applyFont="1" applyFill="1" applyBorder="1" applyAlignment="1" applyProtection="1">
      <alignment horizontal="center"/>
      <protection locked="0"/>
    </xf>
    <xf numFmtId="1" fontId="8" fillId="4" borderId="52" xfId="0" applyNumberFormat="1" applyFont="1" applyFill="1" applyBorder="1" applyAlignment="1" applyProtection="1">
      <alignment horizontal="center"/>
      <protection locked="0"/>
    </xf>
    <xf numFmtId="0" fontId="35" fillId="4" borderId="15" xfId="0" applyFont="1" applyFill="1" applyBorder="1" applyAlignment="1" applyProtection="1">
      <alignment horizontal="center"/>
      <protection locked="0"/>
    </xf>
    <xf numFmtId="0" fontId="35" fillId="4" borderId="16" xfId="0" applyFont="1" applyFill="1" applyBorder="1" applyAlignment="1" applyProtection="1">
      <alignment horizontal="center"/>
      <protection locked="0"/>
    </xf>
    <xf numFmtId="0" fontId="35" fillId="4" borderId="10" xfId="0" applyFont="1" applyFill="1" applyBorder="1" applyAlignment="1" applyProtection="1">
      <alignment horizontal="center"/>
      <protection locked="0"/>
    </xf>
    <xf numFmtId="0" fontId="10" fillId="18" borderId="41" xfId="0" applyFont="1" applyFill="1" applyBorder="1" applyAlignment="1" applyProtection="1">
      <alignment horizontal="center"/>
      <protection hidden="1"/>
    </xf>
    <xf numFmtId="0" fontId="1" fillId="23" borderId="60" xfId="0" applyFont="1" applyFill="1" applyBorder="1" applyAlignment="1" applyProtection="1">
      <alignment horizontal="left" vertical="center"/>
      <protection hidden="1"/>
    </xf>
    <xf numFmtId="0" fontId="1" fillId="23" borderId="0" xfId="0" applyFont="1" applyFill="1" applyAlignment="1" applyProtection="1">
      <alignment horizontal="left" vertical="center"/>
      <protection hidden="1"/>
    </xf>
    <xf numFmtId="0" fontId="1" fillId="23" borderId="61" xfId="0" applyFont="1" applyFill="1" applyBorder="1" applyAlignment="1" applyProtection="1">
      <alignment horizontal="left" vertical="center"/>
      <protection hidden="1"/>
    </xf>
    <xf numFmtId="0" fontId="2" fillId="2" borderId="48" xfId="0" applyFont="1" applyFill="1" applyBorder="1" applyAlignment="1" applyProtection="1">
      <alignment horizontal="center" wrapText="1"/>
      <protection hidden="1"/>
    </xf>
    <xf numFmtId="0" fontId="2" fillId="2" borderId="47" xfId="0" applyFont="1" applyFill="1" applyBorder="1" applyAlignment="1" applyProtection="1">
      <alignment horizontal="center" wrapText="1"/>
      <protection hidden="1"/>
    </xf>
    <xf numFmtId="0" fontId="2" fillId="2" borderId="36" xfId="0" applyFont="1" applyFill="1" applyBorder="1" applyAlignment="1" applyProtection="1">
      <alignment horizontal="center" wrapText="1"/>
      <protection hidden="1"/>
    </xf>
    <xf numFmtId="0" fontId="1" fillId="8" borderId="93" xfId="0" applyFont="1" applyFill="1" applyBorder="1" applyAlignment="1" applyProtection="1">
      <alignment horizontal="center"/>
      <protection hidden="1"/>
    </xf>
    <xf numFmtId="0" fontId="1" fillId="8" borderId="16" xfId="0" applyFont="1" applyFill="1" applyBorder="1" applyAlignment="1" applyProtection="1">
      <alignment horizontal="center"/>
      <protection hidden="1"/>
    </xf>
    <xf numFmtId="0" fontId="1" fillId="8" borderId="97" xfId="0" applyFont="1" applyFill="1" applyBorder="1" applyAlignment="1" applyProtection="1">
      <alignment horizontal="center"/>
      <protection hidden="1"/>
    </xf>
    <xf numFmtId="0" fontId="0" fillId="8" borderId="88" xfId="0" applyFill="1" applyBorder="1" applyAlignment="1" applyProtection="1">
      <alignment horizontal="center" vertical="center" wrapText="1"/>
      <protection hidden="1"/>
    </xf>
    <xf numFmtId="0" fontId="0" fillId="8" borderId="92" xfId="0" applyFill="1" applyBorder="1" applyAlignment="1" applyProtection="1">
      <alignment horizontal="center" vertical="center" wrapText="1"/>
      <protection hidden="1"/>
    </xf>
    <xf numFmtId="0" fontId="1" fillId="8" borderId="10" xfId="0" applyFont="1" applyFill="1" applyBorder="1" applyAlignment="1" applyProtection="1">
      <alignment horizontal="center"/>
      <protection hidden="1"/>
    </xf>
    <xf numFmtId="0" fontId="1" fillId="8" borderId="15" xfId="0" applyFont="1" applyFill="1" applyBorder="1" applyAlignment="1" applyProtection="1">
      <alignment horizontal="center"/>
      <protection hidden="1"/>
    </xf>
    <xf numFmtId="0" fontId="0" fillId="2" borderId="18" xfId="0" applyFill="1" applyBorder="1" applyAlignment="1" applyProtection="1">
      <alignment horizontal="center" textRotation="90" wrapText="1"/>
      <protection hidden="1"/>
    </xf>
    <xf numFmtId="0" fontId="0" fillId="2" borderId="18" xfId="0" applyFill="1" applyBorder="1" applyAlignment="1" applyProtection="1">
      <alignment horizontal="center" vertical="center" wrapText="1"/>
      <protection hidden="1"/>
    </xf>
    <xf numFmtId="0" fontId="0" fillId="2" borderId="0" xfId="0" applyFill="1" applyAlignment="1" applyProtection="1">
      <alignment horizontal="center" vertical="center" wrapText="1"/>
      <protection hidden="1"/>
    </xf>
    <xf numFmtId="0" fontId="1" fillId="2" borderId="17" xfId="0" applyFont="1" applyFill="1" applyBorder="1" applyAlignment="1" applyProtection="1">
      <alignment horizontal="center"/>
      <protection hidden="1"/>
    </xf>
    <xf numFmtId="0" fontId="1" fillId="2" borderId="16" xfId="0" applyFont="1" applyFill="1" applyBorder="1" applyAlignment="1" applyProtection="1">
      <alignment horizontal="center"/>
      <protection hidden="1"/>
    </xf>
    <xf numFmtId="0" fontId="1" fillId="0" borderId="15" xfId="0" applyFont="1" applyBorder="1" applyAlignment="1" applyProtection="1">
      <alignment horizontal="center"/>
      <protection hidden="1"/>
    </xf>
    <xf numFmtId="0" fontId="1" fillId="0" borderId="16" xfId="0" applyFont="1" applyBorder="1" applyAlignment="1" applyProtection="1">
      <alignment horizontal="center"/>
      <protection hidden="1"/>
    </xf>
    <xf numFmtId="0" fontId="1" fillId="0" borderId="10" xfId="0" applyFont="1" applyBorder="1" applyAlignment="1" applyProtection="1">
      <alignment horizontal="center"/>
      <protection hidden="1"/>
    </xf>
    <xf numFmtId="0" fontId="0" fillId="8" borderId="107" xfId="0" applyFill="1" applyBorder="1" applyAlignment="1" applyProtection="1">
      <alignment horizontal="center" vertical="center" wrapText="1"/>
      <protection hidden="1"/>
    </xf>
    <xf numFmtId="0" fontId="0" fillId="8" borderId="52" xfId="0" applyFill="1" applyBorder="1" applyAlignment="1" applyProtection="1">
      <alignment horizontal="center" vertical="center" wrapText="1"/>
      <protection hidden="1"/>
    </xf>
    <xf numFmtId="0" fontId="0" fillId="3" borderId="60" xfId="0" applyFill="1" applyBorder="1" applyAlignment="1" applyProtection="1">
      <alignment horizontal="left"/>
      <protection hidden="1"/>
    </xf>
    <xf numFmtId="0" fontId="0" fillId="3" borderId="0" xfId="0" applyFill="1" applyAlignment="1" applyProtection="1">
      <alignment horizontal="left"/>
      <protection hidden="1"/>
    </xf>
    <xf numFmtId="0" fontId="0" fillId="3" borderId="19" xfId="0" applyFill="1" applyBorder="1" applyAlignment="1" applyProtection="1">
      <alignment horizontal="left"/>
      <protection hidden="1"/>
    </xf>
    <xf numFmtId="0" fontId="1" fillId="23" borderId="55" xfId="0" applyFont="1" applyFill="1" applyBorder="1" applyAlignment="1" applyProtection="1">
      <alignment horizontal="left" vertical="center"/>
      <protection hidden="1"/>
    </xf>
    <xf numFmtId="0" fontId="1" fillId="23" borderId="56" xfId="0" applyFont="1" applyFill="1" applyBorder="1" applyAlignment="1" applyProtection="1">
      <alignment horizontal="left" vertical="center"/>
      <protection hidden="1"/>
    </xf>
    <xf numFmtId="0" fontId="16" fillId="8" borderId="15" xfId="0" applyFont="1" applyFill="1" applyBorder="1" applyAlignment="1" applyProtection="1">
      <alignment horizontal="center" vertical="center"/>
      <protection hidden="1"/>
    </xf>
    <xf numFmtId="0" fontId="16" fillId="8" borderId="16" xfId="0" applyFont="1" applyFill="1" applyBorder="1" applyAlignment="1" applyProtection="1">
      <alignment horizontal="center" vertical="center"/>
      <protection hidden="1"/>
    </xf>
    <xf numFmtId="0" fontId="16" fillId="8" borderId="10" xfId="0" applyFont="1" applyFill="1" applyBorder="1" applyAlignment="1" applyProtection="1">
      <alignment horizontal="center" vertical="center"/>
      <protection hidden="1"/>
    </xf>
    <xf numFmtId="0" fontId="10" fillId="4" borderId="20" xfId="0" applyFont="1" applyFill="1" applyBorder="1" applyAlignment="1" applyProtection="1">
      <alignment horizontal="center"/>
      <protection hidden="1"/>
    </xf>
    <xf numFmtId="0" fontId="10" fillId="4" borderId="38" xfId="0" applyFont="1" applyFill="1" applyBorder="1" applyAlignment="1" applyProtection="1">
      <alignment horizontal="center"/>
      <protection hidden="1"/>
    </xf>
    <xf numFmtId="0" fontId="10" fillId="4" borderId="16" xfId="0" applyFont="1" applyFill="1" applyBorder="1" applyAlignment="1" applyProtection="1">
      <alignment horizontal="center"/>
      <protection hidden="1"/>
    </xf>
    <xf numFmtId="0" fontId="10" fillId="4" borderId="10" xfId="0" applyFont="1" applyFill="1" applyBorder="1" applyAlignment="1" applyProtection="1">
      <alignment horizontal="center"/>
      <protection hidden="1"/>
    </xf>
    <xf numFmtId="0" fontId="1" fillId="2" borderId="15" xfId="0" applyFont="1" applyFill="1" applyBorder="1" applyAlignment="1" applyProtection="1">
      <alignment horizontal="center"/>
      <protection hidden="1"/>
    </xf>
    <xf numFmtId="0" fontId="1" fillId="2" borderId="10" xfId="0" applyFont="1" applyFill="1" applyBorder="1" applyAlignment="1" applyProtection="1">
      <alignment horizontal="center"/>
      <protection hidden="1"/>
    </xf>
    <xf numFmtId="0" fontId="0" fillId="2" borderId="51" xfId="0" applyFill="1" applyBorder="1" applyAlignment="1" applyProtection="1">
      <alignment horizontal="center" vertical="center" wrapText="1"/>
      <protection hidden="1"/>
    </xf>
    <xf numFmtId="0" fontId="0" fillId="2" borderId="88" xfId="0" applyFill="1" applyBorder="1" applyAlignment="1" applyProtection="1">
      <alignment horizontal="center" vertical="center" wrapText="1"/>
      <protection hidden="1"/>
    </xf>
    <xf numFmtId="0" fontId="0" fillId="2" borderId="52" xfId="0" applyFill="1" applyBorder="1" applyAlignment="1" applyProtection="1">
      <alignment horizontal="center" vertical="center" wrapText="1"/>
      <protection hidden="1"/>
    </xf>
    <xf numFmtId="0" fontId="1" fillId="6" borderId="89" xfId="0" applyFont="1" applyFill="1" applyBorder="1" applyAlignment="1" applyProtection="1">
      <alignment horizontal="center"/>
      <protection hidden="1"/>
    </xf>
    <xf numFmtId="0" fontId="1" fillId="6" borderId="41" xfId="0" applyFont="1" applyFill="1" applyBorder="1" applyAlignment="1" applyProtection="1">
      <alignment horizontal="center"/>
      <protection hidden="1"/>
    </xf>
    <xf numFmtId="0" fontId="1" fillId="6" borderId="90" xfId="0" applyFont="1" applyFill="1" applyBorder="1" applyAlignment="1" applyProtection="1">
      <alignment horizontal="center"/>
      <protection hidden="1"/>
    </xf>
    <xf numFmtId="0" fontId="1" fillId="6" borderId="45" xfId="0" applyFont="1" applyFill="1" applyBorder="1" applyAlignment="1" applyProtection="1">
      <alignment horizontal="center"/>
      <protection hidden="1"/>
    </xf>
    <xf numFmtId="0" fontId="1" fillId="6" borderId="44" xfId="0" applyFont="1" applyFill="1" applyBorder="1" applyAlignment="1" applyProtection="1">
      <alignment horizontal="center"/>
      <protection hidden="1"/>
    </xf>
    <xf numFmtId="0" fontId="1" fillId="13" borderId="31" xfId="0" applyFont="1" applyFill="1" applyBorder="1" applyAlignment="1" applyProtection="1">
      <alignment horizontal="center"/>
      <protection hidden="1"/>
    </xf>
    <xf numFmtId="0" fontId="1" fillId="13" borderId="32" xfId="0" applyFont="1" applyFill="1" applyBorder="1" applyAlignment="1" applyProtection="1">
      <alignment horizontal="center"/>
      <protection hidden="1"/>
    </xf>
    <xf numFmtId="166" fontId="8" fillId="4" borderId="29" xfId="0" applyNumberFormat="1" applyFont="1" applyFill="1" applyBorder="1" applyAlignment="1" applyProtection="1">
      <alignment horizontal="center"/>
      <protection hidden="1"/>
    </xf>
    <xf numFmtId="166" fontId="8" fillId="4" borderId="30" xfId="0" applyNumberFormat="1" applyFont="1" applyFill="1" applyBorder="1" applyAlignment="1" applyProtection="1">
      <alignment horizontal="center"/>
      <protection hidden="1"/>
    </xf>
    <xf numFmtId="0" fontId="1" fillId="2" borderId="15" xfId="0" applyFont="1" applyFill="1" applyBorder="1" applyAlignment="1" applyProtection="1">
      <alignment horizontal="center" vertical="center"/>
      <protection hidden="1"/>
    </xf>
    <xf numFmtId="0" fontId="1" fillId="2" borderId="16" xfId="0" applyFont="1" applyFill="1" applyBorder="1" applyAlignment="1" applyProtection="1">
      <alignment horizontal="center" vertical="center"/>
      <protection hidden="1"/>
    </xf>
    <xf numFmtId="0" fontId="1" fillId="2" borderId="10" xfId="0" applyFont="1" applyFill="1" applyBorder="1" applyAlignment="1" applyProtection="1">
      <alignment horizontal="center" vertical="center"/>
      <protection hidden="1"/>
    </xf>
    <xf numFmtId="1" fontId="8" fillId="4" borderId="29" xfId="0" applyNumberFormat="1" applyFont="1" applyFill="1" applyBorder="1" applyAlignment="1" applyProtection="1">
      <alignment horizontal="center"/>
      <protection hidden="1"/>
    </xf>
    <xf numFmtId="1" fontId="8" fillId="4" borderId="30" xfId="0" applyNumberFormat="1" applyFont="1" applyFill="1" applyBorder="1" applyAlignment="1" applyProtection="1">
      <alignment horizontal="center"/>
      <protection hidden="1"/>
    </xf>
    <xf numFmtId="0" fontId="37" fillId="11" borderId="17" xfId="0" applyFont="1" applyFill="1" applyBorder="1" applyAlignment="1" applyProtection="1">
      <alignment horizontal="center" vertical="center"/>
      <protection hidden="1"/>
    </xf>
    <xf numFmtId="0" fontId="37" fillId="11" borderId="21" xfId="0" applyFont="1" applyFill="1" applyBorder="1" applyAlignment="1" applyProtection="1">
      <alignment horizontal="center" vertical="center"/>
      <protection hidden="1"/>
    </xf>
    <xf numFmtId="0" fontId="37" fillId="11" borderId="18" xfId="0" applyFont="1" applyFill="1" applyBorder="1" applyAlignment="1" applyProtection="1">
      <alignment horizontal="center" vertical="center"/>
      <protection hidden="1"/>
    </xf>
    <xf numFmtId="0" fontId="37" fillId="11" borderId="19" xfId="0" applyFont="1" applyFill="1" applyBorder="1" applyAlignment="1" applyProtection="1">
      <alignment horizontal="center" vertical="center"/>
      <protection hidden="1"/>
    </xf>
    <xf numFmtId="0" fontId="37" fillId="11" borderId="20" xfId="0" applyFont="1" applyFill="1" applyBorder="1" applyAlignment="1" applyProtection="1">
      <alignment horizontal="center" vertical="center"/>
      <protection hidden="1"/>
    </xf>
    <xf numFmtId="0" fontId="37" fillId="11" borderId="22" xfId="0" applyFont="1" applyFill="1" applyBorder="1" applyAlignment="1" applyProtection="1">
      <alignment horizontal="center" vertical="center"/>
      <protection hidden="1"/>
    </xf>
    <xf numFmtId="0" fontId="10" fillId="8" borderId="45" xfId="0" applyFont="1" applyFill="1" applyBorder="1" applyAlignment="1" applyProtection="1">
      <alignment horizontal="center"/>
      <protection hidden="1"/>
    </xf>
    <xf numFmtId="0" fontId="10" fillId="8" borderId="44" xfId="0" applyFont="1" applyFill="1" applyBorder="1" applyAlignment="1" applyProtection="1">
      <alignment horizontal="center"/>
      <protection hidden="1"/>
    </xf>
    <xf numFmtId="0" fontId="1" fillId="7" borderId="45" xfId="0" applyFont="1" applyFill="1" applyBorder="1" applyAlignment="1" applyProtection="1">
      <alignment horizontal="center"/>
      <protection hidden="1"/>
    </xf>
    <xf numFmtId="0" fontId="1" fillId="7" borderId="41" xfId="0" applyFont="1" applyFill="1" applyBorder="1" applyAlignment="1" applyProtection="1">
      <alignment horizontal="center"/>
      <protection hidden="1"/>
    </xf>
    <xf numFmtId="0" fontId="1" fillId="7" borderId="44" xfId="0" applyFont="1" applyFill="1" applyBorder="1" applyAlignment="1" applyProtection="1">
      <alignment horizontal="center"/>
      <protection hidden="1"/>
    </xf>
    <xf numFmtId="0" fontId="0" fillId="2" borderId="17" xfId="0" applyFill="1" applyBorder="1" applyAlignment="1" applyProtection="1">
      <alignment horizontal="center"/>
      <protection hidden="1"/>
    </xf>
    <xf numFmtId="0" fontId="0" fillId="2" borderId="37" xfId="0" applyFill="1" applyBorder="1" applyAlignment="1" applyProtection="1">
      <alignment horizontal="center"/>
      <protection hidden="1"/>
    </xf>
    <xf numFmtId="0" fontId="0" fillId="2" borderId="21" xfId="0" applyFill="1" applyBorder="1" applyAlignment="1" applyProtection="1">
      <alignment horizontal="center"/>
      <protection hidden="1"/>
    </xf>
    <xf numFmtId="0" fontId="11" fillId="23" borderId="0" xfId="0" applyFont="1" applyFill="1" applyAlignment="1" applyProtection="1">
      <alignment horizontal="center" vertical="center"/>
      <protection hidden="1"/>
    </xf>
    <xf numFmtId="0" fontId="11" fillId="23" borderId="61" xfId="0" applyFont="1" applyFill="1" applyBorder="1" applyAlignment="1" applyProtection="1">
      <alignment horizontal="center" vertical="center"/>
      <protection hidden="1"/>
    </xf>
    <xf numFmtId="0" fontId="11" fillId="23" borderId="56" xfId="0" applyFont="1" applyFill="1" applyBorder="1" applyAlignment="1" applyProtection="1">
      <alignment horizontal="center" vertical="center"/>
      <protection hidden="1"/>
    </xf>
    <xf numFmtId="0" fontId="11" fillId="23" borderId="57" xfId="0" applyFont="1" applyFill="1" applyBorder="1" applyAlignment="1" applyProtection="1">
      <alignment horizontal="center" vertical="center"/>
      <protection hidden="1"/>
    </xf>
    <xf numFmtId="0" fontId="0" fillId="2" borderId="20" xfId="0" applyFill="1" applyBorder="1" applyAlignment="1" applyProtection="1">
      <alignment horizontal="center"/>
      <protection hidden="1"/>
    </xf>
    <xf numFmtId="0" fontId="0" fillId="2" borderId="38"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8" borderId="91" xfId="0" applyFill="1" applyBorder="1" applyAlignment="1" applyProtection="1">
      <alignment horizontal="center" vertical="center" wrapText="1"/>
      <protection hidden="1"/>
    </xf>
    <xf numFmtId="0" fontId="0" fillId="8" borderId="38" xfId="0" applyFill="1" applyBorder="1" applyAlignment="1" applyProtection="1">
      <alignment horizontal="center" vertical="center" wrapText="1"/>
      <protection hidden="1"/>
    </xf>
    <xf numFmtId="0" fontId="0" fillId="8" borderId="22" xfId="0" applyFill="1" applyBorder="1" applyAlignment="1" applyProtection="1">
      <alignment horizontal="center" vertical="center" wrapText="1"/>
      <protection hidden="1"/>
    </xf>
    <xf numFmtId="0" fontId="0" fillId="8" borderId="20" xfId="0" applyFill="1" applyBorder="1" applyAlignment="1" applyProtection="1">
      <alignment horizontal="center" vertical="center" wrapText="1"/>
      <protection hidden="1"/>
    </xf>
    <xf numFmtId="0" fontId="0" fillId="8" borderId="18" xfId="0" applyFill="1" applyBorder="1" applyAlignment="1" applyProtection="1">
      <alignment horizontal="center" vertical="center" wrapText="1"/>
      <protection hidden="1"/>
    </xf>
    <xf numFmtId="0" fontId="0" fillId="8" borderId="0" xfId="0" applyFill="1" applyAlignment="1" applyProtection="1">
      <alignment horizontal="center" vertical="center" wrapText="1"/>
      <protection hidden="1"/>
    </xf>
    <xf numFmtId="0" fontId="0" fillId="8" borderId="19" xfId="0" applyFill="1" applyBorder="1" applyAlignment="1" applyProtection="1">
      <alignment horizontal="center" vertical="center" wrapText="1"/>
      <protection hidden="1"/>
    </xf>
    <xf numFmtId="0" fontId="0" fillId="8" borderId="79" xfId="0" applyFill="1" applyBorder="1" applyAlignment="1" applyProtection="1">
      <alignment horizontal="center" vertical="center" wrapText="1"/>
      <protection hidden="1"/>
    </xf>
    <xf numFmtId="0" fontId="0" fillId="8" borderId="104" xfId="0" applyFill="1" applyBorder="1" applyAlignment="1" applyProtection="1">
      <alignment horizontal="center" vertical="center" wrapText="1"/>
      <protection hidden="1"/>
    </xf>
    <xf numFmtId="0" fontId="0" fillId="8" borderId="80" xfId="0" applyFill="1" applyBorder="1" applyAlignment="1" applyProtection="1">
      <alignment horizontal="center" vertical="center" wrapText="1"/>
      <protection hidden="1"/>
    </xf>
    <xf numFmtId="0" fontId="0" fillId="8" borderId="51" xfId="0" applyFill="1" applyBorder="1" applyAlignment="1" applyProtection="1">
      <alignment horizontal="center" vertical="center" wrapText="1"/>
      <protection hidden="1"/>
    </xf>
    <xf numFmtId="0" fontId="0" fillId="2" borderId="20" xfId="0" applyFill="1" applyBorder="1" applyAlignment="1" applyProtection="1">
      <alignment horizontal="center" vertical="center" wrapText="1"/>
      <protection hidden="1"/>
    </xf>
    <xf numFmtId="0" fontId="0" fillId="2" borderId="38" xfId="0" applyFill="1" applyBorder="1" applyAlignment="1" applyProtection="1">
      <alignment horizontal="center" vertical="center" wrapText="1"/>
      <protection hidden="1"/>
    </xf>
    <xf numFmtId="0" fontId="0" fillId="2" borderId="22" xfId="0" applyFill="1" applyBorder="1" applyAlignment="1" applyProtection="1">
      <alignment horizontal="center" vertical="center" wrapText="1"/>
      <protection hidden="1"/>
    </xf>
    <xf numFmtId="0" fontId="0" fillId="2" borderId="47" xfId="0" applyFill="1" applyBorder="1" applyAlignment="1" applyProtection="1">
      <alignment horizontal="center" vertical="center" wrapText="1"/>
      <protection hidden="1"/>
    </xf>
    <xf numFmtId="0" fontId="0" fillId="2" borderId="18" xfId="0" applyFill="1" applyBorder="1" applyAlignment="1" applyProtection="1">
      <alignment horizontal="center"/>
      <protection hidden="1"/>
    </xf>
    <xf numFmtId="0" fontId="38" fillId="18" borderId="16" xfId="0" applyFont="1" applyFill="1" applyBorder="1" applyAlignment="1" applyProtection="1">
      <alignment horizontal="center"/>
      <protection hidden="1"/>
    </xf>
    <xf numFmtId="0" fontId="38" fillId="18" borderId="10" xfId="0" applyFont="1" applyFill="1" applyBorder="1" applyAlignment="1" applyProtection="1">
      <alignment horizontal="center"/>
      <protection hidden="1"/>
    </xf>
    <xf numFmtId="0" fontId="1" fillId="27" borderId="17" xfId="0" applyFont="1" applyFill="1" applyBorder="1" applyAlignment="1" applyProtection="1">
      <alignment horizontal="center" vertical="center"/>
      <protection hidden="1"/>
    </xf>
    <xf numFmtId="0" fontId="1" fillId="27" borderId="37" xfId="0" applyFont="1" applyFill="1" applyBorder="1" applyAlignment="1" applyProtection="1">
      <alignment horizontal="center" vertical="center"/>
      <protection hidden="1"/>
    </xf>
    <xf numFmtId="0" fontId="10" fillId="4" borderId="15" xfId="0" applyFont="1" applyFill="1" applyBorder="1" applyAlignment="1" applyProtection="1">
      <alignment horizontal="center"/>
      <protection hidden="1"/>
    </xf>
    <xf numFmtId="0" fontId="0" fillId="3" borderId="5" xfId="0" applyFill="1" applyBorder="1" applyAlignment="1" applyProtection="1">
      <alignment horizontal="left"/>
      <protection hidden="1"/>
    </xf>
    <xf numFmtId="0" fontId="1" fillId="5" borderId="31" xfId="0" applyFont="1" applyFill="1" applyBorder="1" applyAlignment="1" applyProtection="1">
      <alignment horizontal="center"/>
      <protection hidden="1"/>
    </xf>
    <xf numFmtId="0" fontId="1" fillId="5" borderId="32" xfId="0" applyFont="1" applyFill="1" applyBorder="1" applyAlignment="1" applyProtection="1">
      <alignment horizontal="center"/>
      <protection hidden="1"/>
    </xf>
    <xf numFmtId="0" fontId="1" fillId="3" borderId="11" xfId="0" applyFont="1" applyFill="1" applyBorder="1" applyAlignment="1" applyProtection="1">
      <alignment horizontal="left" vertical="center"/>
      <protection hidden="1"/>
    </xf>
    <xf numFmtId="0" fontId="1" fillId="3" borderId="12" xfId="0" applyFont="1" applyFill="1" applyBorder="1" applyAlignment="1" applyProtection="1">
      <alignment horizontal="left" vertical="center"/>
      <protection hidden="1"/>
    </xf>
    <xf numFmtId="0" fontId="1" fillId="3" borderId="12" xfId="0" applyFont="1" applyFill="1" applyBorder="1" applyAlignment="1" applyProtection="1">
      <alignment horizontal="right" vertical="center"/>
      <protection hidden="1"/>
    </xf>
    <xf numFmtId="0" fontId="1" fillId="3" borderId="13" xfId="0" applyFont="1" applyFill="1" applyBorder="1" applyAlignment="1" applyProtection="1">
      <alignment horizontal="right" vertical="center"/>
      <protection hidden="1"/>
    </xf>
    <xf numFmtId="0" fontId="44" fillId="5" borderId="31" xfId="0" applyFont="1" applyFill="1" applyBorder="1" applyAlignment="1" applyProtection="1">
      <alignment horizontal="center"/>
      <protection hidden="1"/>
    </xf>
  </cellXfs>
  <cellStyles count="24">
    <cellStyle name="Gevolgde hyperlink" xfId="2" builtinId="9" hidden="1"/>
    <cellStyle name="Gevolgde hyperlink" xfId="4" builtinId="9" hidden="1"/>
    <cellStyle name="Gevolgde hyperlink" xfId="6" builtinId="9" hidden="1"/>
    <cellStyle name="Gevolgde hyperlink" xfId="8" builtinId="9" hidden="1"/>
    <cellStyle name="Gevolgde hyperlink" xfId="10" builtinId="9" hidden="1"/>
    <cellStyle name="Gevolgde hyperlink" xfId="12" builtinId="9" hidden="1"/>
    <cellStyle name="Gevolgde hyperlink" xfId="14" builtinId="9" hidden="1"/>
    <cellStyle name="Gevolgde hyperlink" xfId="16" builtinId="9" hidden="1"/>
    <cellStyle name="Gevolgde hyperlink" xfId="18" builtinId="9" hidden="1"/>
    <cellStyle name="Gevolgde hyperlink" xfId="20" builtinId="9" hidden="1"/>
    <cellStyle name="Gevolgde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Procent" xfId="23" builtinId="5"/>
    <cellStyle name="Standaard" xfId="0" builtinId="0"/>
  </cellStyles>
  <dxfs count="0"/>
  <tableStyles count="0" defaultTableStyle="TableStyleMedium2" defaultPivotStyle="PivotStyleLight16"/>
  <colors>
    <mruColors>
      <color rgb="FFCCFF99"/>
      <color rgb="FFE2E2E2"/>
      <color rgb="FFDCDCDC"/>
      <color rgb="FFCBCBCB"/>
      <color rgb="FFE0E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10.xml><?xml version="1.0" encoding="utf-8"?>
<ax:ocx xmlns:ax="http://schemas.microsoft.com/office/2006/activeX" xmlns:r="http://schemas.openxmlformats.org/officeDocument/2006/relationships" ax:classid="{D7053240-CE69-11CD-A777-00DD01143C57}" ax:persistence="persistStreamInit" r:id="rId1"/>
</file>

<file path=xl/activeX/activeX11.xml><?xml version="1.0" encoding="utf-8"?>
<ax:ocx xmlns:ax="http://schemas.microsoft.com/office/2006/activeX" xmlns:r="http://schemas.openxmlformats.org/officeDocument/2006/relationships" ax:classid="{978C9E23-D4B0-11CE-BF2D-00AA003F40D0}" ax:persistence="persistStreamInit" r:id="rId1"/>
</file>

<file path=xl/activeX/activeX12.xml><?xml version="1.0" encoding="utf-8"?>
<ax:ocx xmlns:ax="http://schemas.microsoft.com/office/2006/activeX" xmlns:r="http://schemas.openxmlformats.org/officeDocument/2006/relationships" ax:classid="{978C9E23-D4B0-11CE-BF2D-00AA003F40D0}" ax:persistence="persistStreamInit" r:id="rId1"/>
</file>

<file path=xl/activeX/activeX13.xml><?xml version="1.0" encoding="utf-8"?>
<ax:ocx xmlns:ax="http://schemas.microsoft.com/office/2006/activeX" xmlns:r="http://schemas.openxmlformats.org/officeDocument/2006/relationships" ax:classid="{978C9E23-D4B0-11CE-BF2D-00AA003F40D0}" ax:persistence="persistStreamInit" r:id="rId1"/>
</file>

<file path=xl/activeX/activeX14.xml><?xml version="1.0" encoding="utf-8"?>
<ax:ocx xmlns:ax="http://schemas.microsoft.com/office/2006/activeX" xmlns:r="http://schemas.openxmlformats.org/officeDocument/2006/relationships" ax:classid="{978C9E23-D4B0-11CE-BF2D-00AA003F40D0}" ax:persistence="persistStreamInit" r:id="rId1"/>
</file>

<file path=xl/activeX/activeX15.xml><?xml version="1.0" encoding="utf-8"?>
<ax:ocx xmlns:ax="http://schemas.microsoft.com/office/2006/activeX" xmlns:r="http://schemas.openxmlformats.org/officeDocument/2006/relationships" ax:classid="{978C9E23-D4B0-11CE-BF2D-00AA003F40D0}" ax:persistence="persistStreamInit" r:id="rId1"/>
</file>

<file path=xl/activeX/activeX16.xml><?xml version="1.0" encoding="utf-8"?>
<ax:ocx xmlns:ax="http://schemas.microsoft.com/office/2006/activeX" xmlns:r="http://schemas.openxmlformats.org/officeDocument/2006/relationships" ax:classid="{978C9E23-D4B0-11CE-BF2D-00AA003F40D0}" ax:persistence="persistStreamInit" r:id="rId1"/>
</file>

<file path=xl/activeX/activeX17.xml><?xml version="1.0" encoding="utf-8"?>
<ax:ocx xmlns:ax="http://schemas.microsoft.com/office/2006/activeX" xmlns:r="http://schemas.openxmlformats.org/officeDocument/2006/relationships" ax:classid="{978C9E23-D4B0-11CE-BF2D-00AA003F40D0}" ax:persistence="persistStreamInit" r:id="rId1"/>
</file>

<file path=xl/activeX/activeX18.xml><?xml version="1.0" encoding="utf-8"?>
<ax:ocx xmlns:ax="http://schemas.microsoft.com/office/2006/activeX" xmlns:r="http://schemas.openxmlformats.org/officeDocument/2006/relationships" ax:classid="{978C9E23-D4B0-11CE-BF2D-00AA003F40D0}"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978C9E23-D4B0-11CE-BF2D-00AA003F40D0}" ax:persistence="persistStreamInit" r:id="rId1"/>
</file>

<file path=xl/activeX/activeX7.xml><?xml version="1.0" encoding="utf-8"?>
<ax:ocx xmlns:ax="http://schemas.microsoft.com/office/2006/activeX" xmlns:r="http://schemas.openxmlformats.org/officeDocument/2006/relationships" ax:classid="{978C9E23-D4B0-11CE-BF2D-00AA003F40D0}"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4"/>
            <c:dispRSqr val="0"/>
            <c:dispEq val="1"/>
            <c:trendlineLbl>
              <c:layout>
                <c:manualLayout>
                  <c:x val="0.10277777777777776"/>
                  <c:y val="-1.1508457276173812E-3"/>
                </c:manualLayout>
              </c:layout>
              <c:numFmt formatCode="0.00000000E+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trendlineLbl>
          </c:trendline>
          <c:xVal>
            <c:numRef>
              <c:f>cal!$C$72:$C$82</c:f>
              <c:numCache>
                <c:formatCode>0</c:formatCode>
                <c:ptCount val="11"/>
                <c:pt idx="0">
                  <c:v>0</c:v>
                </c:pt>
                <c:pt idx="1">
                  <c:v>133.768339</c:v>
                </c:pt>
                <c:pt idx="2">
                  <c:v>142.571774</c:v>
                </c:pt>
                <c:pt idx="3">
                  <c:v>254.18655100000001</c:v>
                </c:pt>
                <c:pt idx="4">
                  <c:v>312.66762299999999</c:v>
                </c:pt>
                <c:pt idx="5">
                  <c:v>354.98676399999999</c:v>
                </c:pt>
                <c:pt idx="6">
                  <c:v>450.174779</c:v>
                </c:pt>
                <c:pt idx="7">
                  <c:v>464.177143</c:v>
                </c:pt>
                <c:pt idx="8">
                  <c:v>500.13429500000001</c:v>
                </c:pt>
                <c:pt idx="9">
                  <c:v>587.30399899999998</c:v>
                </c:pt>
                <c:pt idx="10">
                  <c:v>677.34145100000001</c:v>
                </c:pt>
              </c:numCache>
            </c:numRef>
          </c:xVal>
          <c:yVal>
            <c:numRef>
              <c:f>cal!$E$72:$E$82</c:f>
              <c:numCache>
                <c:formatCode>0</c:formatCode>
                <c:ptCount val="11"/>
                <c:pt idx="0">
                  <c:v>0</c:v>
                </c:pt>
                <c:pt idx="1">
                  <c:v>552.99961588216161</c:v>
                </c:pt>
                <c:pt idx="2">
                  <c:v>571.05431192893093</c:v>
                </c:pt>
                <c:pt idx="3">
                  <c:v>760.70033902096202</c:v>
                </c:pt>
                <c:pt idx="4">
                  <c:v>851.22096653568678</c:v>
                </c:pt>
                <c:pt idx="5">
                  <c:v>921.67555531004382</c:v>
                </c:pt>
                <c:pt idx="6">
                  <c:v>1031.2758442379063</c:v>
                </c:pt>
                <c:pt idx="7">
                  <c:v>1058.5612859439459</c:v>
                </c:pt>
                <c:pt idx="8">
                  <c:v>1102.6648933306531</c:v>
                </c:pt>
                <c:pt idx="9">
                  <c:v>1136.8084357787336</c:v>
                </c:pt>
                <c:pt idx="10">
                  <c:v>997.08451083668092</c:v>
                </c:pt>
              </c:numCache>
            </c:numRef>
          </c:yVal>
          <c:smooth val="1"/>
          <c:extLst>
            <c:ext xmlns:c16="http://schemas.microsoft.com/office/drawing/2014/chart" uri="{C3380CC4-5D6E-409C-BE32-E72D297353CC}">
              <c16:uniqueId val="{00000000-91EC-423E-9CA7-7B5C96CAEE42}"/>
            </c:ext>
          </c:extLst>
        </c:ser>
        <c:dLbls>
          <c:showLegendKey val="0"/>
          <c:showVal val="0"/>
          <c:showCatName val="0"/>
          <c:showSerName val="0"/>
          <c:showPercent val="0"/>
          <c:showBubbleSize val="0"/>
        </c:dLbls>
        <c:axId val="741700160"/>
        <c:axId val="741700488"/>
      </c:scatterChart>
      <c:valAx>
        <c:axId val="7417001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41700488"/>
        <c:crosses val="autoZero"/>
        <c:crossBetween val="midCat"/>
      </c:valAx>
      <c:valAx>
        <c:axId val="741700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417001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0.10277777777777776"/>
                  <c:y val="-1.1508457276173812E-3"/>
                </c:manualLayout>
              </c:layout>
              <c:numFmt formatCode="0.00000000E+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trendlineLbl>
          </c:trendline>
          <c:xVal>
            <c:numRef>
              <c:f>cal!$C$85:$C$89</c:f>
              <c:numCache>
                <c:formatCode>0</c:formatCode>
                <c:ptCount val="5"/>
                <c:pt idx="0">
                  <c:v>133.768339</c:v>
                </c:pt>
                <c:pt idx="1">
                  <c:v>254.18655100000001</c:v>
                </c:pt>
                <c:pt idx="2">
                  <c:v>354.98676399999999</c:v>
                </c:pt>
                <c:pt idx="3">
                  <c:v>450.174779</c:v>
                </c:pt>
                <c:pt idx="4">
                  <c:v>500.13429500000001</c:v>
                </c:pt>
              </c:numCache>
            </c:numRef>
          </c:xVal>
          <c:yVal>
            <c:numRef>
              <c:f>cal!$D$85:$D$89</c:f>
              <c:numCache>
                <c:formatCode>0</c:formatCode>
                <c:ptCount val="5"/>
                <c:pt idx="0">
                  <c:v>552.99961588216161</c:v>
                </c:pt>
                <c:pt idx="1">
                  <c:v>760.70033902096202</c:v>
                </c:pt>
                <c:pt idx="2">
                  <c:v>921.67555531004382</c:v>
                </c:pt>
                <c:pt idx="3">
                  <c:v>1031.2758442379063</c:v>
                </c:pt>
                <c:pt idx="4">
                  <c:v>1102.6648933306531</c:v>
                </c:pt>
              </c:numCache>
            </c:numRef>
          </c:yVal>
          <c:smooth val="1"/>
          <c:extLst>
            <c:ext xmlns:c16="http://schemas.microsoft.com/office/drawing/2014/chart" uri="{C3380CC4-5D6E-409C-BE32-E72D297353CC}">
              <c16:uniqueId val="{00000000-0C27-4808-AAC9-E71DBF425E22}"/>
            </c:ext>
          </c:extLst>
        </c:ser>
        <c:dLbls>
          <c:showLegendKey val="0"/>
          <c:showVal val="0"/>
          <c:showCatName val="0"/>
          <c:showSerName val="0"/>
          <c:showPercent val="0"/>
          <c:showBubbleSize val="0"/>
        </c:dLbls>
        <c:axId val="741700160"/>
        <c:axId val="741700488"/>
      </c:scatterChart>
      <c:valAx>
        <c:axId val="7417001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41700488"/>
        <c:crosses val="autoZero"/>
        <c:crossBetween val="midCat"/>
      </c:valAx>
      <c:valAx>
        <c:axId val="741700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417001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1.png"/><Relationship Id="rId2" Type="http://schemas.openxmlformats.org/officeDocument/2006/relationships/image" Target="../media/image20.jpg"/><Relationship Id="rId1" Type="http://schemas.openxmlformats.org/officeDocument/2006/relationships/image" Target="../media/image19.jpg"/><Relationship Id="rId4" Type="http://schemas.openxmlformats.org/officeDocument/2006/relationships/image" Target="../media/image2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6.emf"/><Relationship Id="rId18" Type="http://schemas.openxmlformats.org/officeDocument/2006/relationships/image" Target="../media/image1.emf"/><Relationship Id="rId3" Type="http://schemas.openxmlformats.org/officeDocument/2006/relationships/image" Target="../media/image10.emf"/><Relationship Id="rId7" Type="http://schemas.openxmlformats.org/officeDocument/2006/relationships/image" Target="../media/image14.emf"/><Relationship Id="rId12" Type="http://schemas.openxmlformats.org/officeDocument/2006/relationships/image" Target="../media/image18.emf"/><Relationship Id="rId17" Type="http://schemas.openxmlformats.org/officeDocument/2006/relationships/image" Target="../media/image2.emf"/><Relationship Id="rId2" Type="http://schemas.openxmlformats.org/officeDocument/2006/relationships/image" Target="../media/image9.emf"/><Relationship Id="rId16" Type="http://schemas.openxmlformats.org/officeDocument/2006/relationships/image" Target="../media/image3.emf"/><Relationship Id="rId1" Type="http://schemas.openxmlformats.org/officeDocument/2006/relationships/image" Target="../media/image8.emf"/><Relationship Id="rId6" Type="http://schemas.openxmlformats.org/officeDocument/2006/relationships/image" Target="../media/image13.emf"/><Relationship Id="rId11" Type="http://schemas.openxmlformats.org/officeDocument/2006/relationships/image" Target="../media/image17.emf"/><Relationship Id="rId5" Type="http://schemas.openxmlformats.org/officeDocument/2006/relationships/image" Target="../media/image12.emf"/><Relationship Id="rId15" Type="http://schemas.openxmlformats.org/officeDocument/2006/relationships/image" Target="../media/image4.emf"/><Relationship Id="rId10" Type="http://schemas.openxmlformats.org/officeDocument/2006/relationships/image" Target="../media/image16.emf"/><Relationship Id="rId4" Type="http://schemas.openxmlformats.org/officeDocument/2006/relationships/image" Target="../media/image11.emf"/><Relationship Id="rId9" Type="http://schemas.openxmlformats.org/officeDocument/2006/relationships/image" Target="../media/image15.emf"/><Relationship Id="rId1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22</xdr:col>
      <xdr:colOff>180975</xdr:colOff>
      <xdr:row>6</xdr:row>
      <xdr:rowOff>161925</xdr:rowOff>
    </xdr:from>
    <xdr:to>
      <xdr:col>22</xdr:col>
      <xdr:colOff>2828925</xdr:colOff>
      <xdr:row>14</xdr:row>
      <xdr:rowOff>800100</xdr:rowOff>
    </xdr:to>
    <xdr:pic>
      <xdr:nvPicPr>
        <xdr:cNvPr id="6" name="Afbeelding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9783"/>
        <a:stretch/>
      </xdr:blipFill>
      <xdr:spPr>
        <a:xfrm>
          <a:off x="11296650" y="1123950"/>
          <a:ext cx="2647950" cy="1981200"/>
        </a:xfrm>
        <a:prstGeom prst="rect">
          <a:avLst/>
        </a:prstGeom>
      </xdr:spPr>
    </xdr:pic>
    <xdr:clientData/>
  </xdr:twoCellAnchor>
  <xdr:twoCellAnchor editAs="oneCell">
    <xdr:from>
      <xdr:col>22</xdr:col>
      <xdr:colOff>133350</xdr:colOff>
      <xdr:row>7</xdr:row>
      <xdr:rowOff>0</xdr:rowOff>
    </xdr:from>
    <xdr:to>
      <xdr:col>22</xdr:col>
      <xdr:colOff>2886075</xdr:colOff>
      <xdr:row>14</xdr:row>
      <xdr:rowOff>800100</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058" t="-390" r="6896" b="20623"/>
        <a:stretch/>
      </xdr:blipFill>
      <xdr:spPr>
        <a:xfrm>
          <a:off x="11249025" y="1152525"/>
          <a:ext cx="2752725" cy="1952625"/>
        </a:xfrm>
        <a:prstGeom prst="rect">
          <a:avLst/>
        </a:prstGeom>
      </xdr:spPr>
    </xdr:pic>
    <xdr:clientData/>
  </xdr:twoCellAnchor>
  <xdr:twoCellAnchor editAs="oneCell">
    <xdr:from>
      <xdr:col>22</xdr:col>
      <xdr:colOff>542925</xdr:colOff>
      <xdr:row>0</xdr:row>
      <xdr:rowOff>47625</xdr:rowOff>
    </xdr:from>
    <xdr:to>
      <xdr:col>22</xdr:col>
      <xdr:colOff>2516323</xdr:colOff>
      <xdr:row>7</xdr:row>
      <xdr:rowOff>135511</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a:stretch/>
      </xdr:blipFill>
      <xdr:spPr>
        <a:xfrm>
          <a:off x="11058525" y="47625"/>
          <a:ext cx="1973398" cy="1240411"/>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95814</xdr:colOff>
          <xdr:row>8</xdr:row>
          <xdr:rowOff>47623</xdr:rowOff>
        </xdr:from>
        <xdr:to>
          <xdr:col>16</xdr:col>
          <xdr:colOff>533400</xdr:colOff>
          <xdr:row>11</xdr:row>
          <xdr:rowOff>161925</xdr:rowOff>
        </xdr:to>
        <xdr:grpSp>
          <xdr:nvGrpSpPr>
            <xdr:cNvPr id="4" name="Groep 3">
              <a:extLst>
                <a:ext uri="{FF2B5EF4-FFF2-40B4-BE49-F238E27FC236}">
                  <a16:creationId xmlns:a16="http://schemas.microsoft.com/office/drawing/2014/main" id="{00000000-0008-0000-0000-000004000000}"/>
                </a:ext>
              </a:extLst>
            </xdr:cNvPr>
            <xdr:cNvGrpSpPr/>
          </xdr:nvGrpSpPr>
          <xdr:grpSpPr>
            <a:xfrm>
              <a:off x="8096814" y="1390648"/>
              <a:ext cx="1018611" cy="685802"/>
              <a:chOff x="9362616" y="640416"/>
              <a:chExt cx="1113887" cy="517292"/>
            </a:xfrm>
          </xdr:grpSpPr>
          <xdr:sp macro="" textlink="">
            <xdr:nvSpPr>
              <xdr:cNvPr id="2051" name="rbtnSI"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9363131" y="640416"/>
                <a:ext cx="907191" cy="257175"/>
              </a:xfrm>
              <a:prstGeom prst="rect">
                <a:avLst/>
              </a:prstGeom>
              <a:noFill/>
              <a:ln>
                <a:noFill/>
              </a:ln>
              <a:extLst>
                <a:ext uri="{91240B29-F687-4F45-9708-019B960494DF}">
                  <a14:hiddenLine w="9525">
                    <a:noFill/>
                    <a:miter lim="800000"/>
                    <a:headEnd/>
                    <a:tailEnd/>
                  </a14:hiddenLine>
                </a:ext>
              </a:extLst>
            </xdr:spPr>
          </xdr:sp>
          <xdr:sp macro="" textlink="">
            <xdr:nvSpPr>
              <xdr:cNvPr id="2052" name="rbtnImperial"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9362616" y="900533"/>
                <a:ext cx="1113887" cy="25717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0</xdr:row>
          <xdr:rowOff>66675</xdr:rowOff>
        </xdr:from>
        <xdr:to>
          <xdr:col>17</xdr:col>
          <xdr:colOff>9525</xdr:colOff>
          <xdr:row>2</xdr:row>
          <xdr:rowOff>161925</xdr:rowOff>
        </xdr:to>
        <xdr:sp macro="" textlink="">
          <xdr:nvSpPr>
            <xdr:cNvPr id="2053" name="btnCopy"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57</xdr:row>
          <xdr:rowOff>9525</xdr:rowOff>
        </xdr:from>
        <xdr:to>
          <xdr:col>11</xdr:col>
          <xdr:colOff>495300</xdr:colOff>
          <xdr:row>60</xdr:row>
          <xdr:rowOff>19050</xdr:rowOff>
        </xdr:to>
        <xdr:sp macro="" textlink="">
          <xdr:nvSpPr>
            <xdr:cNvPr id="2065" name="lblReq10"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49</xdr:row>
          <xdr:rowOff>9525</xdr:rowOff>
        </xdr:from>
        <xdr:to>
          <xdr:col>11</xdr:col>
          <xdr:colOff>495300</xdr:colOff>
          <xdr:row>52</xdr:row>
          <xdr:rowOff>19050</xdr:rowOff>
        </xdr:to>
        <xdr:sp macro="" textlink="">
          <xdr:nvSpPr>
            <xdr:cNvPr id="2072" name="lblReq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41</xdr:row>
          <xdr:rowOff>9525</xdr:rowOff>
        </xdr:from>
        <xdr:to>
          <xdr:col>11</xdr:col>
          <xdr:colOff>495300</xdr:colOff>
          <xdr:row>44</xdr:row>
          <xdr:rowOff>19050</xdr:rowOff>
        </xdr:to>
        <xdr:sp macro="" textlink="">
          <xdr:nvSpPr>
            <xdr:cNvPr id="2074" name="lblReq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57</xdr:row>
          <xdr:rowOff>9525</xdr:rowOff>
        </xdr:from>
        <xdr:to>
          <xdr:col>5</xdr:col>
          <xdr:colOff>495300</xdr:colOff>
          <xdr:row>60</xdr:row>
          <xdr:rowOff>19050</xdr:rowOff>
        </xdr:to>
        <xdr:sp macro="" textlink="">
          <xdr:nvSpPr>
            <xdr:cNvPr id="2095" name="lblAvb10"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49</xdr:row>
          <xdr:rowOff>9525</xdr:rowOff>
        </xdr:from>
        <xdr:to>
          <xdr:col>5</xdr:col>
          <xdr:colOff>495300</xdr:colOff>
          <xdr:row>52</xdr:row>
          <xdr:rowOff>19050</xdr:rowOff>
        </xdr:to>
        <xdr:sp macro="" textlink="">
          <xdr:nvSpPr>
            <xdr:cNvPr id="2096" name="lblAvb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41</xdr:row>
          <xdr:rowOff>9525</xdr:rowOff>
        </xdr:from>
        <xdr:to>
          <xdr:col>5</xdr:col>
          <xdr:colOff>495300</xdr:colOff>
          <xdr:row>44</xdr:row>
          <xdr:rowOff>19050</xdr:rowOff>
        </xdr:to>
        <xdr:sp macro="" textlink="">
          <xdr:nvSpPr>
            <xdr:cNvPr id="2104" name="lblAvb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9525</xdr:rowOff>
        </xdr:from>
        <xdr:to>
          <xdr:col>11</xdr:col>
          <xdr:colOff>495300</xdr:colOff>
          <xdr:row>36</xdr:row>
          <xdr:rowOff>19050</xdr:rowOff>
        </xdr:to>
        <xdr:sp macro="" textlink="">
          <xdr:nvSpPr>
            <xdr:cNvPr id="2107" name="lblReq4"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33</xdr:row>
          <xdr:rowOff>9525</xdr:rowOff>
        </xdr:from>
        <xdr:to>
          <xdr:col>5</xdr:col>
          <xdr:colOff>495300</xdr:colOff>
          <xdr:row>36</xdr:row>
          <xdr:rowOff>9525</xdr:rowOff>
        </xdr:to>
        <xdr:sp macro="" textlink="">
          <xdr:nvSpPr>
            <xdr:cNvPr id="2109" name="lblAvb4"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25</xdr:row>
          <xdr:rowOff>9525</xdr:rowOff>
        </xdr:from>
        <xdr:to>
          <xdr:col>5</xdr:col>
          <xdr:colOff>495300</xdr:colOff>
          <xdr:row>28</xdr:row>
          <xdr:rowOff>19050</xdr:rowOff>
        </xdr:to>
        <xdr:sp macro="" textlink="">
          <xdr:nvSpPr>
            <xdr:cNvPr id="2110" name="lblAvb3"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25</xdr:row>
          <xdr:rowOff>9525</xdr:rowOff>
        </xdr:from>
        <xdr:to>
          <xdr:col>11</xdr:col>
          <xdr:colOff>495300</xdr:colOff>
          <xdr:row>28</xdr:row>
          <xdr:rowOff>19050</xdr:rowOff>
        </xdr:to>
        <xdr:sp macro="" textlink="">
          <xdr:nvSpPr>
            <xdr:cNvPr id="2112" name="lblReq3"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101595</xdr:colOff>
          <xdr:row>8</xdr:row>
          <xdr:rowOff>38100</xdr:rowOff>
        </xdr:from>
        <xdr:to>
          <xdr:col>18</xdr:col>
          <xdr:colOff>552450</xdr:colOff>
          <xdr:row>11</xdr:row>
          <xdr:rowOff>152400</xdr:rowOff>
        </xdr:to>
        <xdr:grpSp>
          <xdr:nvGrpSpPr>
            <xdr:cNvPr id="5" name="Groep 4">
              <a:extLst>
                <a:ext uri="{FF2B5EF4-FFF2-40B4-BE49-F238E27FC236}">
                  <a16:creationId xmlns:a16="http://schemas.microsoft.com/office/drawing/2014/main" id="{00000000-0008-0000-0000-000005000000}"/>
                </a:ext>
              </a:extLst>
            </xdr:cNvPr>
            <xdr:cNvGrpSpPr/>
          </xdr:nvGrpSpPr>
          <xdr:grpSpPr>
            <a:xfrm>
              <a:off x="9264645" y="1381125"/>
              <a:ext cx="1050930" cy="685800"/>
              <a:chOff x="11430091" y="4486275"/>
              <a:chExt cx="279312" cy="755650"/>
            </a:xfrm>
          </xdr:grpSpPr>
          <xdr:sp macro="" textlink="">
            <xdr:nvSpPr>
              <xdr:cNvPr id="2119" name="rbtnDry"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11430091" y="4486275"/>
                <a:ext cx="279312" cy="241300"/>
              </a:xfrm>
              <a:prstGeom prst="rect">
                <a:avLst/>
              </a:prstGeom>
              <a:noFill/>
              <a:ln>
                <a:noFill/>
              </a:ln>
              <a:extLst>
                <a:ext uri="{91240B29-F687-4F45-9708-019B960494DF}">
                  <a14:hiddenLine w="9525">
                    <a:noFill/>
                    <a:miter lim="800000"/>
                    <a:headEnd/>
                    <a:tailEnd/>
                  </a14:hiddenLine>
                </a:ext>
              </a:extLst>
            </xdr:spPr>
          </xdr:sp>
          <xdr:sp macro="" textlink="">
            <xdr:nvSpPr>
              <xdr:cNvPr id="2120" name="rbtnWet"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11431148" y="4740275"/>
                <a:ext cx="276519" cy="241300"/>
              </a:xfrm>
              <a:prstGeom prst="rect">
                <a:avLst/>
              </a:prstGeom>
              <a:noFill/>
              <a:ln>
                <a:noFill/>
              </a:ln>
              <a:extLst>
                <a:ext uri="{91240B29-F687-4F45-9708-019B960494DF}">
                  <a14:hiddenLine w="9525">
                    <a:noFill/>
                    <a:miter lim="800000"/>
                    <a:headEnd/>
                    <a:tailEnd/>
                  </a14:hiddenLine>
                </a:ext>
              </a:extLst>
            </xdr:spPr>
          </xdr:sp>
          <xdr:sp macro="" textlink="">
            <xdr:nvSpPr>
              <xdr:cNvPr id="2121" name="rbtnHumid"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11432508" y="5000625"/>
                <a:ext cx="276519" cy="24130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twoCellAnchor editAs="oneCell">
    <xdr:from>
      <xdr:col>20</xdr:col>
      <xdr:colOff>96907</xdr:colOff>
      <xdr:row>1</xdr:row>
      <xdr:rowOff>24854</xdr:rowOff>
    </xdr:from>
    <xdr:to>
      <xdr:col>20</xdr:col>
      <xdr:colOff>519321</xdr:colOff>
      <xdr:row>3</xdr:row>
      <xdr:rowOff>66268</xdr:rowOff>
    </xdr:to>
    <xdr:pic macro="[0]!InfoButton">
      <xdr:nvPicPr>
        <xdr:cNvPr id="7" name="Afbeelding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060182" y="148679"/>
          <a:ext cx="422414" cy="4224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23</xdr:col>
          <xdr:colOff>28575</xdr:colOff>
          <xdr:row>63</xdr:row>
          <xdr:rowOff>104775</xdr:rowOff>
        </xdr:from>
        <xdr:to>
          <xdr:col>24</xdr:col>
          <xdr:colOff>0</xdr:colOff>
          <xdr:row>65</xdr:row>
          <xdr:rowOff>0</xdr:rowOff>
        </xdr:to>
        <xdr:sp macro="" textlink="">
          <xdr:nvSpPr>
            <xdr:cNvPr id="2144" name="boxAdmin"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38100</xdr:rowOff>
        </xdr:from>
        <xdr:to>
          <xdr:col>5</xdr:col>
          <xdr:colOff>523875</xdr:colOff>
          <xdr:row>12</xdr:row>
          <xdr:rowOff>0</xdr:rowOff>
        </xdr:to>
        <xdr:sp macro="" textlink="">
          <xdr:nvSpPr>
            <xdr:cNvPr id="2154" name="btnCalc"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465044</xdr:colOff>
      <xdr:row>70</xdr:row>
      <xdr:rowOff>141194</xdr:rowOff>
    </xdr:from>
    <xdr:to>
      <xdr:col>13</xdr:col>
      <xdr:colOff>106455</xdr:colOff>
      <xdr:row>85</xdr:row>
      <xdr:rowOff>26894</xdr:rowOff>
    </xdr:to>
    <xdr:graphicFrame macro="">
      <xdr:nvGraphicFramePr>
        <xdr:cNvPr id="4" name="Grafiek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437030</xdr:colOff>
      <xdr:row>86</xdr:row>
      <xdr:rowOff>56029</xdr:rowOff>
    </xdr:from>
    <xdr:to>
      <xdr:col>13</xdr:col>
      <xdr:colOff>78441</xdr:colOff>
      <xdr:row>100</xdr:row>
      <xdr:rowOff>132229</xdr:rowOff>
    </xdr:to>
    <xdr:graphicFrame macro="">
      <xdr:nvGraphicFramePr>
        <xdr:cNvPr id="6" name="Grafiek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8" Type="http://schemas.openxmlformats.org/officeDocument/2006/relationships/control" Target="../activeX/activeX3.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ain">
    <pageSetUpPr fitToPage="1"/>
  </sheetPr>
  <dimension ref="A1:AA73"/>
  <sheetViews>
    <sheetView tabSelected="1" zoomScaleNormal="100" workbookViewId="0">
      <pane xSplit="1" ySplit="15" topLeftCell="B16" activePane="bottomRight" state="frozen"/>
      <selection activeCell="M4" sqref="M4:O4"/>
      <selection pane="topRight" activeCell="M4" sqref="M4:O4"/>
      <selection pane="bottomLeft" activeCell="M4" sqref="M4:O4"/>
      <selection pane="bottomRight" activeCell="K2" sqref="K2:M2"/>
    </sheetView>
  </sheetViews>
  <sheetFormatPr defaultColWidth="0" defaultRowHeight="0" customHeight="1" zeroHeight="1" x14ac:dyDescent="0.25"/>
  <cols>
    <col min="1" max="1" width="2.28515625" style="2" customWidth="1"/>
    <col min="2" max="2" width="7" style="2" customWidth="1"/>
    <col min="3" max="3" width="6.140625" style="2" customWidth="1"/>
    <col min="4" max="17" width="8.7109375" style="2" customWidth="1"/>
    <col min="18" max="21" width="9" style="2" customWidth="1"/>
    <col min="22" max="22" width="2.28515625" style="2" customWidth="1"/>
    <col min="23" max="23" width="45.7109375" style="2" customWidth="1"/>
    <col min="24" max="24" width="2.28515625" style="2" customWidth="1"/>
    <col min="25" max="27" width="0" style="2" hidden="1" customWidth="1"/>
    <col min="28" max="16384" width="10.7109375" style="2" hidden="1"/>
  </cols>
  <sheetData>
    <row r="1" spans="2:27" ht="9.9499999999999993" customHeight="1" x14ac:dyDescent="0.25">
      <c r="B1" s="1"/>
    </row>
    <row r="2" spans="2:27" ht="15" customHeight="1" x14ac:dyDescent="0.25">
      <c r="B2" s="549" t="s">
        <v>158</v>
      </c>
      <c r="C2" s="550"/>
      <c r="D2" s="550"/>
      <c r="E2" s="551"/>
      <c r="G2" s="557" t="s">
        <v>509</v>
      </c>
      <c r="H2" s="558">
        <v>0</v>
      </c>
      <c r="I2" s="558">
        <v>0</v>
      </c>
      <c r="J2" s="559">
        <v>0</v>
      </c>
      <c r="K2" s="560" t="s">
        <v>94</v>
      </c>
      <c r="L2" s="560"/>
      <c r="M2" s="561"/>
      <c r="Z2" s="565" t="s">
        <v>263</v>
      </c>
      <c r="AA2" s="531" t="s">
        <v>264</v>
      </c>
    </row>
    <row r="3" spans="2:27" ht="15" customHeight="1" x14ac:dyDescent="0.25">
      <c r="B3" s="568" t="s">
        <v>176</v>
      </c>
      <c r="C3" s="569"/>
      <c r="D3" s="569"/>
      <c r="E3" s="570"/>
      <c r="G3" s="554" t="str">
        <f>cal!G5</f>
        <v>Hydronic mix:</v>
      </c>
      <c r="H3" s="555" t="str">
        <f>cal!H5</f>
        <v>Hydronic mix:</v>
      </c>
      <c r="I3" s="555">
        <f>cal!I5</f>
        <v>0</v>
      </c>
      <c r="J3" s="556">
        <f>cal!J5</f>
        <v>0</v>
      </c>
      <c r="K3" s="562" t="s">
        <v>106</v>
      </c>
      <c r="L3" s="563"/>
      <c r="M3" s="261">
        <v>1</v>
      </c>
      <c r="O3" s="160"/>
      <c r="S3" s="160"/>
      <c r="Z3" s="566"/>
      <c r="AA3" s="532"/>
    </row>
    <row r="4" spans="2:27" ht="15" customHeight="1" x14ac:dyDescent="0.25">
      <c r="B4" s="5"/>
      <c r="G4" s="554" t="str">
        <f>cal!G6</f>
        <v>Device - Ventilator - Utilization:</v>
      </c>
      <c r="H4" s="555" t="str">
        <f>cal!H6</f>
        <v>Device - Ventilator - Utilization:</v>
      </c>
      <c r="I4" s="555">
        <f>cal!I6</f>
        <v>0</v>
      </c>
      <c r="J4" s="556">
        <f>cal!J6</f>
        <v>0</v>
      </c>
      <c r="K4" s="560" t="s">
        <v>513</v>
      </c>
      <c r="L4" s="560"/>
      <c r="M4" s="585" t="s">
        <v>117</v>
      </c>
      <c r="N4" s="586"/>
      <c r="O4" s="587"/>
      <c r="P4" s="564" t="s">
        <v>86</v>
      </c>
      <c r="Q4" s="561"/>
      <c r="R4" s="466"/>
      <c r="S4" s="467"/>
      <c r="Z4" s="566"/>
      <c r="AA4" s="532"/>
    </row>
    <row r="5" spans="2:27" ht="6" customHeight="1" x14ac:dyDescent="0.25">
      <c r="B5" s="6"/>
      <c r="C5" s="7"/>
      <c r="D5" s="7"/>
      <c r="E5" s="7"/>
      <c r="F5" s="7"/>
      <c r="G5" s="7"/>
      <c r="H5" s="7"/>
      <c r="I5" s="7"/>
      <c r="J5" s="7"/>
      <c r="K5" s="10"/>
      <c r="L5" s="10"/>
      <c r="M5" s="10"/>
      <c r="N5" s="10"/>
      <c r="O5" s="10"/>
      <c r="P5" s="10"/>
      <c r="Q5" s="10"/>
      <c r="R5" s="465"/>
      <c r="S5" s="465"/>
      <c r="T5" s="465"/>
      <c r="U5" s="445"/>
      <c r="Z5" s="567"/>
      <c r="AA5" s="533"/>
    </row>
    <row r="6" spans="2:27" ht="15" customHeight="1" x14ac:dyDescent="0.25">
      <c r="B6" s="166" t="str">
        <f>cal!B8</f>
        <v>Temperatures</v>
      </c>
      <c r="C6" s="10"/>
      <c r="D6" s="10"/>
      <c r="E6" s="10"/>
      <c r="F6" s="10"/>
      <c r="G6" s="10"/>
      <c r="H6" s="10"/>
      <c r="I6" s="10"/>
      <c r="J6" s="10"/>
      <c r="K6" s="10"/>
      <c r="L6" s="10"/>
      <c r="M6" s="10"/>
      <c r="N6" s="10"/>
      <c r="O6" s="10"/>
      <c r="P6" s="10"/>
      <c r="Q6" s="10"/>
      <c r="R6" s="10"/>
      <c r="S6" s="10"/>
      <c r="T6" s="10"/>
      <c r="U6" s="446"/>
      <c r="Z6" s="56" t="str">
        <f>cal!V9</f>
        <v>Temp</v>
      </c>
      <c r="AA6" s="56" t="str">
        <f>cal!BI9</f>
        <v>Temp</v>
      </c>
    </row>
    <row r="7" spans="2:27" ht="15" customHeight="1" x14ac:dyDescent="0.25">
      <c r="B7" s="166" t="str">
        <f>cal!B9</f>
        <v>Heating:</v>
      </c>
      <c r="C7" s="10"/>
      <c r="D7" s="10"/>
      <c r="E7" s="10"/>
      <c r="F7" s="10"/>
      <c r="G7" s="167" t="str">
        <f>cal!G9</f>
        <v>Cooling:</v>
      </c>
      <c r="H7" s="12"/>
      <c r="I7" s="12"/>
      <c r="J7" s="10"/>
      <c r="K7" s="10"/>
      <c r="L7" s="10"/>
      <c r="M7" s="10"/>
      <c r="N7" s="10"/>
      <c r="O7" s="10"/>
      <c r="P7" s="10"/>
      <c r="Q7" s="10"/>
      <c r="R7" s="10"/>
      <c r="S7" s="10"/>
      <c r="T7" s="10"/>
      <c r="U7" s="446"/>
      <c r="Z7" s="293">
        <f>cal!V10</f>
        <v>65</v>
      </c>
      <c r="AA7" s="293">
        <f>cal!BI10</f>
        <v>16</v>
      </c>
    </row>
    <row r="8" spans="2:27" ht="15" customHeight="1" thickBot="1" x14ac:dyDescent="0.3">
      <c r="B8" s="540" t="str">
        <f>cal!B10</f>
        <v>Supply water</v>
      </c>
      <c r="C8" s="541">
        <f>cal!C10</f>
        <v>0</v>
      </c>
      <c r="D8" s="542">
        <f>cal!D10</f>
        <v>0</v>
      </c>
      <c r="E8" s="165">
        <v>65</v>
      </c>
      <c r="F8" s="52" t="str">
        <f>IF(cal!$Z$5=1,"°C",IF(cal!$Z$5=2,"°F"))</f>
        <v>°C</v>
      </c>
      <c r="G8" s="579" t="str">
        <f>cal!G10</f>
        <v>Supply water</v>
      </c>
      <c r="H8" s="579">
        <f>cal!H10</f>
        <v>0</v>
      </c>
      <c r="I8" s="579">
        <f>cal!I10</f>
        <v>0</v>
      </c>
      <c r="J8" s="580">
        <f>cal!J10</f>
        <v>0</v>
      </c>
      <c r="K8" s="165">
        <v>16</v>
      </c>
      <c r="L8" s="10" t="str">
        <f>F8</f>
        <v>°C</v>
      </c>
      <c r="M8" s="581" t="str">
        <f>cal!M8</f>
        <v>Static pressure</v>
      </c>
      <c r="N8" s="582">
        <f>cal!N8</f>
        <v>0</v>
      </c>
      <c r="O8" s="266"/>
      <c r="P8" s="552" t="str">
        <f>cal!P7</f>
        <v>Unit conversion</v>
      </c>
      <c r="Q8" s="553"/>
      <c r="R8" s="552" t="str">
        <f>cal!R7</f>
        <v>Known variables</v>
      </c>
      <c r="S8" s="588"/>
      <c r="T8" s="474"/>
      <c r="U8" s="446"/>
      <c r="Z8" s="293">
        <f>cal!V11</f>
        <v>55</v>
      </c>
      <c r="AA8" s="293">
        <f>cal!BI11</f>
        <v>18</v>
      </c>
    </row>
    <row r="9" spans="2:27" ht="15" customHeight="1" thickTop="1" x14ac:dyDescent="0.25">
      <c r="B9" s="540" t="str">
        <f>cal!B11</f>
        <v>Return water</v>
      </c>
      <c r="C9" s="541">
        <f>cal!C11</f>
        <v>0</v>
      </c>
      <c r="D9" s="542">
        <f>cal!D11</f>
        <v>0</v>
      </c>
      <c r="E9" s="282">
        <v>55</v>
      </c>
      <c r="F9" s="52" t="str">
        <f>F8</f>
        <v>°C</v>
      </c>
      <c r="G9" s="579" t="str">
        <f>cal!G11</f>
        <v>Return water</v>
      </c>
      <c r="H9" s="579">
        <f>cal!H11</f>
        <v>0</v>
      </c>
      <c r="I9" s="579">
        <f>cal!I11</f>
        <v>0</v>
      </c>
      <c r="J9" s="580">
        <f>cal!J11</f>
        <v>0</v>
      </c>
      <c r="K9" s="165">
        <v>18</v>
      </c>
      <c r="L9" s="10" t="str">
        <f>F8</f>
        <v>°C</v>
      </c>
      <c r="M9" s="547">
        <v>0</v>
      </c>
      <c r="N9" s="548"/>
      <c r="O9" s="268" t="str">
        <f>IF(cal!$Z$5=1,"Pa",IF(cal!$Z$5=2,"inchH2O"))</f>
        <v>Pa</v>
      </c>
      <c r="P9" s="534"/>
      <c r="Q9" s="535"/>
      <c r="R9" s="534"/>
      <c r="S9" s="576"/>
      <c r="T9" s="474"/>
      <c r="U9" s="446"/>
      <c r="Z9" s="293">
        <f>cal!V12</f>
        <v>20</v>
      </c>
      <c r="AA9" s="293">
        <f>cal!BI12</f>
        <v>27</v>
      </c>
    </row>
    <row r="10" spans="2:27" ht="15" customHeight="1" thickBot="1" x14ac:dyDescent="0.3">
      <c r="B10" s="540" t="str">
        <f>cal!B12</f>
        <v>Entering air (dry bulb)</v>
      </c>
      <c r="C10" s="541"/>
      <c r="D10" s="542"/>
      <c r="E10" s="319">
        <v>20</v>
      </c>
      <c r="F10" s="264" t="str">
        <f>F8</f>
        <v>°C</v>
      </c>
      <c r="G10" s="579" t="str">
        <f>cal!G12</f>
        <v>Entering air (dry bulb)</v>
      </c>
      <c r="H10" s="579">
        <f>cal!H12</f>
        <v>0</v>
      </c>
      <c r="I10" s="579">
        <f>cal!I12</f>
        <v>0</v>
      </c>
      <c r="J10" s="580">
        <f>cal!J12</f>
        <v>0</v>
      </c>
      <c r="K10" s="282">
        <v>27</v>
      </c>
      <c r="L10" s="10" t="str">
        <f>F8</f>
        <v>°C</v>
      </c>
      <c r="M10" s="581" t="str">
        <f>cal!M11</f>
        <v>Altitude</v>
      </c>
      <c r="N10" s="582"/>
      <c r="O10" s="269"/>
      <c r="P10" s="536"/>
      <c r="Q10" s="537"/>
      <c r="R10" s="536"/>
      <c r="S10" s="577"/>
      <c r="T10" s="474"/>
      <c r="U10" s="446"/>
      <c r="Z10" s="294">
        <f>cal!V13</f>
        <v>0</v>
      </c>
      <c r="AA10" s="294">
        <f>cal!BI13</f>
        <v>19.415087041495514</v>
      </c>
    </row>
    <row r="11" spans="2:27" ht="15" customHeight="1" thickTop="1" x14ac:dyDescent="0.25">
      <c r="B11" s="545"/>
      <c r="C11" s="546"/>
      <c r="D11" s="546"/>
      <c r="E11" s="462"/>
      <c r="F11" s="461"/>
      <c r="G11" s="579" t="str">
        <f>cal!G13</f>
        <v>Entering air (wet bulb)</v>
      </c>
      <c r="H11" s="579">
        <f>cal!H13</f>
        <v>0</v>
      </c>
      <c r="I11" s="579">
        <f>cal!I13</f>
        <v>0</v>
      </c>
      <c r="J11" s="580">
        <f>cal!J13</f>
        <v>0</v>
      </c>
      <c r="K11" s="338">
        <v>19.415087041495514</v>
      </c>
      <c r="L11" s="10" t="str">
        <f>F8</f>
        <v>°C</v>
      </c>
      <c r="M11" s="583">
        <v>0</v>
      </c>
      <c r="N11" s="584"/>
      <c r="O11" s="268" t="str">
        <f>IF(cal!$Z$5=1,"m",IF(cal!$Z$5=2,"ft"))</f>
        <v>m</v>
      </c>
      <c r="P11" s="536"/>
      <c r="Q11" s="537"/>
      <c r="R11" s="536"/>
      <c r="S11" s="577"/>
      <c r="T11" s="474"/>
      <c r="U11" s="446"/>
      <c r="Z11" s="220" t="s">
        <v>265</v>
      </c>
      <c r="AA11" s="295">
        <f>p_atm</f>
        <v>101325</v>
      </c>
    </row>
    <row r="12" spans="2:27" ht="15" customHeight="1" x14ac:dyDescent="0.25">
      <c r="B12" s="543"/>
      <c r="C12" s="544"/>
      <c r="D12" s="544"/>
      <c r="E12" s="463"/>
      <c r="F12" s="461"/>
      <c r="G12" s="540" t="str">
        <f>cal!G14</f>
        <v>Relative humidity</v>
      </c>
      <c r="H12" s="541"/>
      <c r="I12" s="541"/>
      <c r="J12" s="542"/>
      <c r="K12" s="339">
        <v>0.5</v>
      </c>
      <c r="L12" s="10"/>
      <c r="M12" s="470"/>
      <c r="N12" s="470"/>
      <c r="O12" s="267"/>
      <c r="P12" s="538"/>
      <c r="Q12" s="539"/>
      <c r="R12" s="538"/>
      <c r="S12" s="578"/>
      <c r="T12" s="474"/>
      <c r="U12" s="446"/>
    </row>
    <row r="13" spans="2:27" ht="6" customHeight="1" x14ac:dyDescent="0.25">
      <c r="B13" s="514"/>
      <c r="C13" s="17"/>
      <c r="D13" s="17"/>
      <c r="E13" s="17"/>
      <c r="F13" s="18"/>
      <c r="G13" s="18"/>
      <c r="H13" s="18"/>
      <c r="I13" s="18"/>
      <c r="J13" s="18"/>
      <c r="K13" s="18"/>
      <c r="L13" s="18"/>
      <c r="M13" s="18"/>
      <c r="N13" s="18"/>
      <c r="O13" s="18"/>
      <c r="P13" s="18"/>
      <c r="Q13" s="180"/>
      <c r="R13" s="180"/>
      <c r="S13" s="180"/>
      <c r="T13" s="475"/>
      <c r="U13" s="447"/>
    </row>
    <row r="14" spans="2:27" ht="9.9499999999999993" customHeight="1" x14ac:dyDescent="0.25">
      <c r="B14" s="157"/>
      <c r="C14" s="157"/>
      <c r="D14" s="158"/>
      <c r="E14" s="158"/>
      <c r="F14" s="158"/>
      <c r="G14" s="158"/>
      <c r="H14" s="158"/>
      <c r="I14" s="158"/>
      <c r="J14" s="158"/>
      <c r="K14" s="159"/>
      <c r="L14" s="159"/>
      <c r="M14" s="159"/>
      <c r="N14" s="158"/>
    </row>
    <row r="15" spans="2:27" s="28" customFormat="1" ht="103.5" customHeight="1" x14ac:dyDescent="0.25">
      <c r="B15" s="66" t="str">
        <f>cal!B16</f>
        <v>Speed level</v>
      </c>
      <c r="C15" s="67" t="str">
        <f>cal!C16</f>
        <v>Control voltage [V]</v>
      </c>
      <c r="D15" s="68" t="str">
        <f>cal!D16</f>
        <v>Heat output * 65/55/20 [W]</v>
      </c>
      <c r="E15" s="69" t="str">
        <f>cal!E16</f>
        <v>Water flowrate, heating [l/h]</v>
      </c>
      <c r="F15" s="70" t="str">
        <f>cal!F16</f>
        <v>Water side pressure loss [kPa]</v>
      </c>
      <c r="G15" s="71" t="str">
        <f>cal!G16</f>
        <v>Sens. cooling capacity * 16/18/27 [W]</v>
      </c>
      <c r="H15" s="72" t="str">
        <f>cal!H16</f>
        <v>Tot. cooling capacity 16/18/27 [W]</v>
      </c>
      <c r="I15" s="69" t="str">
        <f>cal!I16</f>
        <v>Water flowrate, cooling [l/h]</v>
      </c>
      <c r="J15" s="70" t="str">
        <f>cal!J16</f>
        <v>Water side pressure loss [kPa]</v>
      </c>
      <c r="K15" s="73" t="str">
        <f>cal!K16</f>
        <v>Sound pressure *** [dB(A)]</v>
      </c>
      <c r="L15" s="74" t="str">
        <f>cal!L16</f>
        <v>Sound power ** [dB(A)]</v>
      </c>
      <c r="M15" s="323" t="str">
        <f>cal!M16</f>
        <v>Electrical power [W]</v>
      </c>
      <c r="N15" s="324" t="str">
        <f>cal!N16</f>
        <v>Air flowrate [m³/h]</v>
      </c>
      <c r="O15" s="324" t="str">
        <f>cal!O16</f>
        <v>Face velocity [m/s]</v>
      </c>
      <c r="P15" s="322" t="str">
        <f>cal!P16</f>
        <v>Air exhaust temp. heating [°C]</v>
      </c>
      <c r="Q15" s="325" t="str">
        <f>cal!R16</f>
        <v>Air exhaust temp. cooling (dry bulb) [°C]</v>
      </c>
      <c r="R15" s="326" t="str">
        <f>cal!S16</f>
        <v>Air exhaust temp. cooling (wet bulb) [°C]</v>
      </c>
      <c r="S15" s="327" t="str">
        <f>cal!T16</f>
        <v>Rel. humid. cooled air [%] ****</v>
      </c>
      <c r="T15" s="403" t="str">
        <f>cal!U16</f>
        <v>fan rotation frequency [revolutions/minute]</v>
      </c>
      <c r="U15" s="403" t="str">
        <f>cal!V16</f>
        <v>Specific fan power [J/l]</v>
      </c>
      <c r="W15" s="468" t="str">
        <f>cal!$B$68</f>
        <v>Briza has multiple airflow supply and return air connection options. Visit our website for more information.</v>
      </c>
    </row>
    <row r="16" spans="2:27" ht="17.100000000000001" customHeight="1" x14ac:dyDescent="0.25">
      <c r="B16" s="571" t="str">
        <f>IF(cal!$BK$17="11",cal!B17,IF(cal!$BK$17="21",cal!B17,IF(cal!$BK$17="12",cal!B17,IF(cal!$BK$17="22",cal!B17,IF(cal!$BK$17="13",cal!B17,IF(cal!$BK$17="23",cal!B17,IF(cal!$BK$17="14",cal!B17,IF(cal!$BK$17="24",cal!B17,IF(cal!$BK$17="31","",IF(cal!$BK$17="32","",IF(cal!$BK$17="33","",IF(cal!$BK$17="34","",IF(cal!$BK$17="41","",IF(cal!$BK$17="42","",IF(cal!$BK$17="43","",IF(cal!$BK$17="44","",))))))))))))))))</f>
        <v>Briza 22 (230V) height 54,5 cm, width 22 cm, length 55 cm (Type 02)</v>
      </c>
      <c r="C16" s="572"/>
      <c r="D16" s="572"/>
      <c r="E16" s="572"/>
      <c r="F16" s="572"/>
      <c r="G16" s="572"/>
      <c r="H16" s="572"/>
      <c r="I16" s="572"/>
      <c r="J16" s="572"/>
      <c r="K16" s="572"/>
      <c r="L16" s="572"/>
      <c r="M16" s="572"/>
      <c r="N16" s="574"/>
      <c r="O16" s="574"/>
      <c r="P16" s="574"/>
      <c r="Q16" s="574"/>
      <c r="R16" s="574"/>
      <c r="S16" s="574"/>
      <c r="T16" s="574"/>
      <c r="U16" s="575"/>
      <c r="W16" s="469"/>
    </row>
    <row r="17" spans="2:22" ht="15" customHeight="1" x14ac:dyDescent="0.25">
      <c r="B17" s="29">
        <f>cal!B18</f>
        <v>0.2</v>
      </c>
      <c r="C17" s="30">
        <f>cal!C18</f>
        <v>2</v>
      </c>
      <c r="D17" s="146">
        <f>IF($E$8&lt;=$E$9,cal!$AC$6,cal!D18)</f>
        <v>1758.4563964140746</v>
      </c>
      <c r="E17" s="147">
        <f>IF($E$8&lt;=$E$9,"",cal!E18)</f>
        <v>151</v>
      </c>
      <c r="F17" s="148">
        <f>IF($E$8&lt;=$E$9,"",cal!F18)</f>
        <v>0.5910093296337543</v>
      </c>
      <c r="G17" s="149">
        <f>IF($K$8&gt;=$K$9,cal!$AC$6,cal!G18)</f>
        <v>366.99469629964148</v>
      </c>
      <c r="H17" s="149">
        <f>IF($K$8&gt;=$K$9,"",cal!H18)</f>
        <v>366.99469629964148</v>
      </c>
      <c r="I17" s="147">
        <f>IF($K$8&gt;=$K$9,"",cal!I18)</f>
        <v>158</v>
      </c>
      <c r="J17" s="150">
        <f>IF($K$8&gt;=$K$9,"",cal!J18)</f>
        <v>0.64232830079406078</v>
      </c>
      <c r="K17" s="527">
        <f>cal!K18</f>
        <v>25.5</v>
      </c>
      <c r="L17" s="271">
        <f>cal!L18</f>
        <v>33.5</v>
      </c>
      <c r="M17" s="151">
        <f>cal!M18</f>
        <v>3.664947735102877</v>
      </c>
      <c r="N17" s="149">
        <f>cal!N18</f>
        <v>133.768339</v>
      </c>
      <c r="O17" s="271">
        <f>cal!O18</f>
        <v>0.30708985078053253</v>
      </c>
      <c r="P17" s="320">
        <f>IF($E$8&lt;=$E$9,"",cal!P18)</f>
        <v>58.586381824666319</v>
      </c>
      <c r="Q17" s="152">
        <f>IF($K$8&gt;=$K$9,"",cal!R18)</f>
        <v>18.845741281251485</v>
      </c>
      <c r="R17" s="152">
        <f>IF($K$8&gt;=$K$9,"",cal!S18)</f>
        <v>16.774904168824342</v>
      </c>
      <c r="S17" s="281">
        <f>IF($K$8&gt;=$K$9,"",cal!T18)</f>
        <v>0.82074002552329861</v>
      </c>
      <c r="T17" s="410">
        <f>IF($K$8&gt;=$K$9,"",cal!U18)</f>
        <v>480.7675172425503</v>
      </c>
      <c r="U17" s="476">
        <f>IF($K$8&gt;=$K$9,"",cal!V18)</f>
        <v>9.8631798413601868E-2</v>
      </c>
      <c r="V17" s="405"/>
    </row>
    <row r="18" spans="2:22" ht="15" customHeight="1" x14ac:dyDescent="0.25">
      <c r="B18" s="29">
        <f>cal!B19</f>
        <v>0.4</v>
      </c>
      <c r="C18" s="30">
        <f>cal!C19</f>
        <v>4</v>
      </c>
      <c r="D18" s="146">
        <f>IF($E$8&lt;=$E$9,cal!$AC$7,cal!D19)</f>
        <v>3118.7979461784221</v>
      </c>
      <c r="E18" s="147">
        <f>IF($E$8&lt;=$E$9,"",cal!E19)</f>
        <v>268</v>
      </c>
      <c r="F18" s="148">
        <f>IF($E$8&lt;=$E$9,"",cal!F19)</f>
        <v>1.6960074461691081</v>
      </c>
      <c r="G18" s="149">
        <f>IF($K$8&gt;=$K$9,cal!$AC$8,cal!G19)</f>
        <v>658.63965576729504</v>
      </c>
      <c r="H18" s="149">
        <f>IF($K$8&gt;=$K$9,"",cal!H19)</f>
        <v>658.63965576729504</v>
      </c>
      <c r="I18" s="147">
        <f>IF($K$8&gt;=$K$9,"",cal!I19)</f>
        <v>283</v>
      </c>
      <c r="J18" s="150">
        <f>IF($K$8&gt;=$K$9,"",cal!J19)</f>
        <v>1.8745119075616177</v>
      </c>
      <c r="K18" s="527">
        <f>cal!K19</f>
        <v>35</v>
      </c>
      <c r="L18" s="271">
        <f>cal!L19</f>
        <v>43</v>
      </c>
      <c r="M18" s="151">
        <f>cal!M19</f>
        <v>8.7384827502810118</v>
      </c>
      <c r="N18" s="149">
        <f>cal!N19</f>
        <v>254.18655100000001</v>
      </c>
      <c r="O18" s="271">
        <f>cal!O19</f>
        <v>0.58353202708907259</v>
      </c>
      <c r="P18" s="320">
        <f>IF($E$8&lt;=$E$9,"",cal!P19)</f>
        <v>56.015583836930531</v>
      </c>
      <c r="Q18" s="152">
        <f>IF($K$8&gt;=$K$9,"",cal!R19)</f>
        <v>19.298535103604365</v>
      </c>
      <c r="R18" s="152">
        <f>IF($K$8&gt;=$K$9,"",cal!S19)</f>
        <v>16.904232248038639</v>
      </c>
      <c r="S18" s="281">
        <f>IF($K$8&gt;=$K$9,"",cal!T19)</f>
        <v>0.79580034405408739</v>
      </c>
      <c r="T18" s="410">
        <f>IF($K$8&gt;=$K$9,"",cal!U19)</f>
        <v>729.98769758288381</v>
      </c>
      <c r="U18" s="476">
        <f>IF($K$8&gt;=$K$9,"",cal!V19)</f>
        <v>0.12376161436256178</v>
      </c>
      <c r="V18" s="405"/>
    </row>
    <row r="19" spans="2:22" ht="15" customHeight="1" x14ac:dyDescent="0.25">
      <c r="B19" s="29">
        <f>cal!B20</f>
        <v>0.6</v>
      </c>
      <c r="C19" s="30">
        <f>cal!C20</f>
        <v>6</v>
      </c>
      <c r="D19" s="146">
        <f>IF($E$8&lt;=$E$9,"",cal!D20)</f>
        <v>4070.8243954552063</v>
      </c>
      <c r="E19" s="147">
        <f>IF($E$8&lt;=$E$9,"",cal!E20)</f>
        <v>350</v>
      </c>
      <c r="F19" s="148">
        <f>IF($E$8&lt;=$E$9,"",cal!F20)</f>
        <v>2.7698601082163314</v>
      </c>
      <c r="G19" s="149">
        <f>IF($K$8&gt;=$K$9,"",cal!G20)</f>
        <v>881.65158240137123</v>
      </c>
      <c r="H19" s="149">
        <f>IF($K$8&gt;=$K$9,"",cal!H20)</f>
        <v>881.65158240137123</v>
      </c>
      <c r="I19" s="147">
        <f>IF($K$8&gt;=$K$9,"",cal!I20)</f>
        <v>379</v>
      </c>
      <c r="J19" s="150">
        <f>IF($K$8&gt;=$K$9,"",cal!J20)</f>
        <v>3.2061450575655126</v>
      </c>
      <c r="K19" s="527">
        <f>cal!K20</f>
        <v>42.5</v>
      </c>
      <c r="L19" s="271">
        <f>cal!L20</f>
        <v>50.5</v>
      </c>
      <c r="M19" s="151">
        <f>cal!M20</f>
        <v>17.200408392224332</v>
      </c>
      <c r="N19" s="149">
        <f>cal!N20</f>
        <v>354.98676399999999</v>
      </c>
      <c r="O19" s="271">
        <f>cal!O20</f>
        <v>0.81493747474747469</v>
      </c>
      <c r="P19" s="320">
        <f>IF($E$8&lt;=$E$9,"",cal!P20)</f>
        <v>53.660921135109952</v>
      </c>
      <c r="Q19" s="152">
        <f>IF($K$8&gt;=$K$9,"",cal!R20)</f>
        <v>19.618189975634486</v>
      </c>
      <c r="R19" s="152">
        <f>IF($K$8&gt;=$K$9,"",cal!S20)</f>
        <v>17.013084915194781</v>
      </c>
      <c r="S19" s="281">
        <f>IF($K$8&gt;=$K$9,"",cal!T20)</f>
        <v>0.78016511808757283</v>
      </c>
      <c r="T19" s="410">
        <f>IF($K$8&gt;=$K$9,"",cal!U20)</f>
        <v>939.96169334158697</v>
      </c>
      <c r="U19" s="476">
        <f>IF($K$8&gt;=$K$9,"",cal!V20)</f>
        <v>0.17443318030868216</v>
      </c>
      <c r="V19" s="405"/>
    </row>
    <row r="20" spans="2:22" ht="15" customHeight="1" x14ac:dyDescent="0.25">
      <c r="B20" s="29">
        <f>cal!B21</f>
        <v>0.8</v>
      </c>
      <c r="C20" s="30">
        <f>cal!C21</f>
        <v>8</v>
      </c>
      <c r="D20" s="146">
        <f>IF($E$8&lt;=$E$9,"",cal!D21)</f>
        <v>4970.6305397720416</v>
      </c>
      <c r="E20" s="147">
        <f>IF($E$8&lt;=$E$9,"",cal!E21)</f>
        <v>427</v>
      </c>
      <c r="F20" s="148">
        <f>IF($E$8&lt;=$E$9,"",cal!F21)</f>
        <v>3.9915912378970946</v>
      </c>
      <c r="G20" s="149">
        <f>IF($K$8&gt;=$K$9,"",cal!G21)</f>
        <v>1074.5779201926093</v>
      </c>
      <c r="H20" s="149">
        <f>IF($K$8&gt;=$K$9,"",cal!H21)</f>
        <v>1074.5779201926093</v>
      </c>
      <c r="I20" s="147">
        <f>IF($K$8&gt;=$K$9,"",cal!I21)</f>
        <v>462</v>
      </c>
      <c r="J20" s="150">
        <f>IF($K$8&gt;=$K$9,"",cal!J21)</f>
        <v>4.6133380246601501</v>
      </c>
      <c r="K20" s="527">
        <f>cal!K21</f>
        <v>46.5</v>
      </c>
      <c r="L20" s="271">
        <f>cal!L21</f>
        <v>54.5</v>
      </c>
      <c r="M20" s="151">
        <f>cal!M21</f>
        <v>31.135831156450219</v>
      </c>
      <c r="N20" s="149">
        <f>cal!N21</f>
        <v>450.174779</v>
      </c>
      <c r="O20" s="271">
        <f>cal!O21</f>
        <v>1.0334590886134067</v>
      </c>
      <c r="P20" s="320">
        <f>IF($E$8&lt;=$E$9,"",cal!P21)</f>
        <v>52.410528428689027</v>
      </c>
      <c r="Q20" s="152">
        <f>IF($K$8&gt;=$K$9,"",cal!R21)</f>
        <v>19.905287751520465</v>
      </c>
      <c r="R20" s="152">
        <f>IF($K$8&gt;=$K$9,"",cal!S21)</f>
        <v>17.110488860674693</v>
      </c>
      <c r="S20" s="281">
        <f>IF($K$8&gt;=$K$9,"",cal!T21)</f>
        <v>0.76641654876715748</v>
      </c>
      <c r="T20" s="410">
        <f>IF($K$8&gt;=$K$9,"",cal!U21)</f>
        <v>1142.7603685578915</v>
      </c>
      <c r="U20" s="476">
        <f>IF($K$8&gt;=$K$9,"",cal!V21)</f>
        <v>0.24898994211139669</v>
      </c>
      <c r="V20" s="405"/>
    </row>
    <row r="21" spans="2:22" ht="15" customHeight="1" x14ac:dyDescent="0.25">
      <c r="B21" s="29">
        <f>cal!B22</f>
        <v>1</v>
      </c>
      <c r="C21" s="30">
        <f>cal!C22</f>
        <v>10</v>
      </c>
      <c r="D21" s="146">
        <f>IF($E$8&lt;=$E$9,"",cal!D22)</f>
        <v>5490.6296081231185</v>
      </c>
      <c r="E21" s="147">
        <f>IF($E$8&lt;=$E$9,"",cal!E22)</f>
        <v>472</v>
      </c>
      <c r="F21" s="148">
        <f>IF($E$8&lt;=$E$9,"",cal!F22)</f>
        <v>4.7984866261193035</v>
      </c>
      <c r="G21" s="149">
        <f>IF($K$8&gt;=$K$9,"",cal!G22)</f>
        <v>1168.9674964689752</v>
      </c>
      <c r="H21" s="149">
        <f>IF($K$8&gt;=$K$9,"",cal!H22)</f>
        <v>1168.9674964689752</v>
      </c>
      <c r="I21" s="147">
        <f>IF($K$8&gt;=$K$9,"",cal!I22)</f>
        <v>503</v>
      </c>
      <c r="J21" s="150">
        <f>IF($K$8&gt;=$K$9,"",cal!J22)</f>
        <v>5.3934628308251646</v>
      </c>
      <c r="K21" s="527">
        <f>cal!K22</f>
        <v>51</v>
      </c>
      <c r="L21" s="271">
        <f>cal!L22</f>
        <v>59</v>
      </c>
      <c r="M21" s="151">
        <f>cal!M22</f>
        <v>41.092296234432752</v>
      </c>
      <c r="N21" s="149">
        <f>cal!N22</f>
        <v>500.13429500000001</v>
      </c>
      <c r="O21" s="271">
        <f>cal!O22</f>
        <v>1.1481503558310375</v>
      </c>
      <c r="P21" s="320">
        <f>IF($E$8&lt;=$E$9,"",cal!P22)</f>
        <v>52.224879346627127</v>
      </c>
      <c r="Q21" s="152">
        <f>IF($K$8&gt;=$K$9,"",cal!R22)</f>
        <v>20.053055441326705</v>
      </c>
      <c r="R21" s="152">
        <f>IF($K$8&gt;=$K$9,"",cal!S22)</f>
        <v>17.160489433954407</v>
      </c>
      <c r="S21" s="281">
        <f>IF($K$8&gt;=$K$9,"",cal!T22)</f>
        <v>0.75944667365107443</v>
      </c>
      <c r="T21" s="411">
        <f>IF($K$8&gt;=$K$9,"",cal!U22)</f>
        <v>1247.4857962866836</v>
      </c>
      <c r="U21" s="477">
        <f>IF($K$8&gt;=$K$9,"",cal!V22)</f>
        <v>0.29578508797113762</v>
      </c>
      <c r="V21" s="405"/>
    </row>
    <row r="22" spans="2:22" ht="17.100000000000001" customHeight="1" x14ac:dyDescent="0.25">
      <c r="B22" s="571" t="str">
        <f>IF(cal!$BK$17="11",cal!B23,IF(cal!$BK$17="21",cal!B23,IF(cal!$BK$17="12",cal!B23,IF(cal!$BK$17="22",cal!B23,IF(cal!$BK$17="13",cal!B23,IF(cal!$BK$17="23",cal!B23,IF(cal!$BK$17="14",cal!B23,IF(cal!$BK$17="24",cal!B23,IF(cal!$BK$17="31","",IF(cal!$BK$17="32","",IF(cal!$BK$17="33","",IF(cal!$BK$17="34","",IF(cal!$BK$17="41","",IF(cal!$BK$17="42","",IF(cal!$BK$17="43","",IF(cal!$BK$17="44","",))))))))))))))))</f>
        <v>Briza 22 (230V) height 54,5 cm, width 22 cm, length 75 cm (Type 03)</v>
      </c>
      <c r="C22" s="572"/>
      <c r="D22" s="573"/>
      <c r="E22" s="573"/>
      <c r="F22" s="573"/>
      <c r="G22" s="573"/>
      <c r="H22" s="573"/>
      <c r="I22" s="573"/>
      <c r="J22" s="573"/>
      <c r="K22" s="573"/>
      <c r="L22" s="573"/>
      <c r="M22" s="573"/>
      <c r="N22" s="574"/>
      <c r="O22" s="574"/>
      <c r="P22" s="574"/>
      <c r="Q22" s="574"/>
      <c r="R22" s="574"/>
      <c r="S22" s="574"/>
      <c r="T22" s="574"/>
      <c r="U22" s="575"/>
      <c r="V22" s="405"/>
    </row>
    <row r="23" spans="2:22" ht="15" customHeight="1" x14ac:dyDescent="0.25">
      <c r="B23" s="195">
        <f>cal!B24</f>
        <v>0.2</v>
      </c>
      <c r="C23" s="30">
        <f>cal!C24</f>
        <v>2</v>
      </c>
      <c r="D23" s="146">
        <f>IF($E$8&lt;=$E$9,cal!$AC$6,cal!D24)</f>
        <v>2414.0554127831469</v>
      </c>
      <c r="E23" s="147">
        <f>IF($E$8&lt;=$E$9,"",cal!E24)</f>
        <v>208</v>
      </c>
      <c r="F23" s="148">
        <f>IF($E$8&lt;=$E$9,"",cal!F24)</f>
        <v>1.2996392386829112</v>
      </c>
      <c r="G23" s="149">
        <f>IF($K$8&gt;=$K$9,cal!$AC$6,cal!G24)</f>
        <v>508.18297018770477</v>
      </c>
      <c r="H23" s="149">
        <f>IF($K$8&gt;=$K$9,"",cal!H24)</f>
        <v>508.18297018770477</v>
      </c>
      <c r="I23" s="147">
        <f>IF($K$8&gt;=$K$9,"",cal!I24)</f>
        <v>218</v>
      </c>
      <c r="J23" s="150">
        <f>IF($K$8&gt;=$K$9,"",cal!J24)</f>
        <v>1.416197316226643</v>
      </c>
      <c r="K23" s="527">
        <f>cal!K24</f>
        <v>20.5</v>
      </c>
      <c r="L23" s="271">
        <f>cal!L24</f>
        <v>28.5</v>
      </c>
      <c r="M23" s="151">
        <f>cal!M24</f>
        <v>3.6631675496846254</v>
      </c>
      <c r="N23" s="149">
        <f>cal!N24</f>
        <v>178.41426200000001</v>
      </c>
      <c r="O23" s="271">
        <f>cal!O24</f>
        <v>0.30036071043771045</v>
      </c>
      <c r="P23" s="320">
        <f>IF($E$8&lt;=$E$9,"",cal!P24)</f>
        <v>59.716727306739827</v>
      </c>
      <c r="Q23" s="152">
        <f>IF($K$8&gt;=$K$9,"",cal!R24)</f>
        <v>18.534188923730937</v>
      </c>
      <c r="R23" s="152">
        <f>IF($K$8&gt;=$K$9,"",cal!S24)</f>
        <v>16.642206804974531</v>
      </c>
      <c r="S23" s="272">
        <f>IF($K$8&gt;=$K$9,"",cal!T24)</f>
        <v>0.834636453120847</v>
      </c>
      <c r="T23" s="409">
        <f>IF($K$8&gt;=$K$9,"",cal!U24)</f>
        <v>438.32061882550522</v>
      </c>
      <c r="U23" s="476">
        <f>IF($K$8&gt;=$K$9,"",cal!V24)</f>
        <v>7.3914512388391071E-2</v>
      </c>
      <c r="V23" s="405"/>
    </row>
    <row r="24" spans="2:22" ht="15" customHeight="1" x14ac:dyDescent="0.25">
      <c r="B24" s="195">
        <f>cal!B25</f>
        <v>0.4</v>
      </c>
      <c r="C24" s="30">
        <f>cal!C25</f>
        <v>4</v>
      </c>
      <c r="D24" s="146">
        <f>IF($E$8&lt;=$E$9,cal!$AC$7,cal!D25)</f>
        <v>4256.2486190778027</v>
      </c>
      <c r="E24" s="147">
        <f>IF($E$8&lt;=$E$9,"",cal!E25)</f>
        <v>366</v>
      </c>
      <c r="F24" s="148">
        <f>IF($E$8&lt;=$E$9,"",cal!F25)</f>
        <v>3.6535438340251858</v>
      </c>
      <c r="G24" s="149">
        <f>IF($K$8&gt;=$K$9,cal!$AC$8,cal!G25)</f>
        <v>870.4079031708319</v>
      </c>
      <c r="H24" s="149">
        <f>IF($K$8&gt;=$K$9,"",cal!H25)</f>
        <v>870.4079031708319</v>
      </c>
      <c r="I24" s="147">
        <f>IF($K$8&gt;=$K$9,"",cal!I25)</f>
        <v>374</v>
      </c>
      <c r="J24" s="150">
        <f>IF($K$8&gt;=$K$9,"",cal!J25)</f>
        <v>3.8009349421834946</v>
      </c>
      <c r="K24" s="527">
        <f>cal!K25</f>
        <v>29.5</v>
      </c>
      <c r="L24" s="271">
        <f>cal!L25</f>
        <v>37.5</v>
      </c>
      <c r="M24" s="151">
        <f>cal!M25</f>
        <v>8.8195356743565227</v>
      </c>
      <c r="N24" s="149">
        <f>cal!N25</f>
        <v>326.678518</v>
      </c>
      <c r="O24" s="271">
        <f>cal!O25</f>
        <v>0.54996383501683499</v>
      </c>
      <c r="P24" s="320">
        <f>IF($E$8&lt;=$E$9,"",cal!P25)</f>
        <v>58.243902276633726</v>
      </c>
      <c r="Q24" s="152">
        <f>IF($K$8&gt;=$K$9,"",cal!R25)</f>
        <v>19.080818765833964</v>
      </c>
      <c r="R24" s="152">
        <f>IF($K$8&gt;=$K$9,"",cal!S25)</f>
        <v>16.829848135327037</v>
      </c>
      <c r="S24" s="272">
        <f>IF($K$8&gt;=$K$9,"",cal!T25)</f>
        <v>0.80665129022977722</v>
      </c>
      <c r="T24" s="410">
        <f>IF($K$8&gt;=$K$9,"",cal!U25)</f>
        <v>652.45927955263903</v>
      </c>
      <c r="U24" s="476">
        <f>IF($K$8&gt;=$K$9,"",cal!V25)</f>
        <v>9.719135687913058E-2</v>
      </c>
      <c r="V24" s="405"/>
    </row>
    <row r="25" spans="2:22" ht="0.2" customHeight="1" x14ac:dyDescent="0.25">
      <c r="B25" s="195">
        <f>cal!B26</f>
        <v>0.5</v>
      </c>
      <c r="C25" s="30">
        <f>cal!C26</f>
        <v>5</v>
      </c>
      <c r="D25" s="146">
        <f>IF($E$8&lt;=$E$9,"",cal!D26)</f>
        <v>-176.58230878697927</v>
      </c>
      <c r="E25" s="147">
        <f>IF($E$8&lt;=$E$9,"",cal!E26)</f>
        <v>-15</v>
      </c>
      <c r="F25" s="148" t="e">
        <f>IF($E$8&lt;=$E$9,"",cal!F26)</f>
        <v>#NUM!</v>
      </c>
      <c r="G25" s="149">
        <f>IF($K$8&gt;=$K$9,"",cal!G26)</f>
        <v>5.8527436755953275</v>
      </c>
      <c r="H25" s="149">
        <f>IF($K$8&gt;=$K$9,"",IF($M$4="High Perform. 208/230V (US/EU)",cal!HK26,cal!H26))</f>
        <v>5.8527436755953275</v>
      </c>
      <c r="I25" s="147">
        <f>IF($K$8&gt;=$K$9,"",cal!I26)</f>
        <v>3</v>
      </c>
      <c r="J25" s="150">
        <f>IF($K$8&gt;=$K$9,"",cal!J26)</f>
        <v>5.579193318791106E-4</v>
      </c>
      <c r="K25" s="527">
        <f>cal!K26</f>
        <v>0</v>
      </c>
      <c r="L25" s="271">
        <f>cal!L26</f>
        <v>0</v>
      </c>
      <c r="M25" s="151">
        <f>cal!M26</f>
        <v>0</v>
      </c>
      <c r="N25" s="149">
        <f>cal!N26</f>
        <v>0</v>
      </c>
      <c r="O25" s="271">
        <f>cal!O26</f>
        <v>0</v>
      </c>
      <c r="P25" s="320" t="e">
        <f>IF($E$8&lt;=$E$9,"",cal!P26)</f>
        <v>#DIV/0!</v>
      </c>
      <c r="Q25" s="152" t="e">
        <f>IF($K$8&gt;=$K$9,"",cal!R26)</f>
        <v>#DIV/0!</v>
      </c>
      <c r="R25" s="152" t="e">
        <f>IF($K$8&gt;=$K$9,"",cal!S26)</f>
        <v>#DIV/0!</v>
      </c>
      <c r="S25" s="272" t="e">
        <f>IF($K$8&gt;=$K$9,"",cal!T26)</f>
        <v>#DIV/0!</v>
      </c>
      <c r="T25" s="410">
        <f>IF($K$8&gt;=$K$9,"",cal!U26)</f>
        <v>0</v>
      </c>
      <c r="U25" s="476" t="e">
        <f>IF($K$8&gt;=$K$9,"",cal!V26)</f>
        <v>#DIV/0!</v>
      </c>
      <c r="V25" s="405"/>
    </row>
    <row r="26" spans="2:22" ht="15" customHeight="1" x14ac:dyDescent="0.25">
      <c r="B26" s="195">
        <f>cal!B27</f>
        <v>0.6</v>
      </c>
      <c r="C26" s="30">
        <f>cal!C27</f>
        <v>6</v>
      </c>
      <c r="D26" s="146">
        <f>IF($E$8&lt;=$E$9,"",cal!D27)</f>
        <v>5635.1006088385057</v>
      </c>
      <c r="E26" s="147">
        <f>IF($E$8&lt;=$E$9,"",cal!E27)</f>
        <v>485</v>
      </c>
      <c r="F26" s="148">
        <f>IF($E$8&lt;=$E$9,"",cal!F27)</f>
        <v>6.1142083915871881</v>
      </c>
      <c r="G26" s="149">
        <f>IF($K$8&gt;=$K$9,"",cal!G27)</f>
        <v>1145.8866223600021</v>
      </c>
      <c r="H26" s="149">
        <f>IF($K$8&gt;=$K$9,"",IF($M$4="High Perform. 208/230V (US/EU)",cal!HK27,cal!H27))</f>
        <v>1145.8866223600021</v>
      </c>
      <c r="I26" s="147">
        <f>IF($K$8&gt;=$K$9,"",cal!I27)</f>
        <v>493</v>
      </c>
      <c r="J26" s="150">
        <f>IF($K$8&gt;=$K$9,"",cal!J27)</f>
        <v>6.2999378044641938</v>
      </c>
      <c r="K26" s="527">
        <f>cal!K27</f>
        <v>39</v>
      </c>
      <c r="L26" s="271">
        <f>cal!L27</f>
        <v>47</v>
      </c>
      <c r="M26" s="151">
        <f>cal!M27</f>
        <v>17.716229239720533</v>
      </c>
      <c r="N26" s="149">
        <f>cal!N27</f>
        <v>456.23121300000003</v>
      </c>
      <c r="O26" s="271">
        <f>cal!O27</f>
        <v>0.76806601515151507</v>
      </c>
      <c r="P26" s="320">
        <f>IF($E$8&lt;=$E$9,"",cal!P27)</f>
        <v>56.255380575852506</v>
      </c>
      <c r="Q26" s="152">
        <f>IF($K$8&gt;=$K$9,"",cal!R27)</f>
        <v>19.534916183581799</v>
      </c>
      <c r="R26" s="152">
        <f>IF($K$8&gt;=$K$9,"",cal!S27)</f>
        <v>16.984768565071484</v>
      </c>
      <c r="S26" s="272">
        <f>IF($K$8&gt;=$K$9,"",cal!T27)</f>
        <v>0.78420471402276792</v>
      </c>
      <c r="T26" s="410">
        <f>IF($K$8&gt;=$K$9,"",cal!U27)</f>
        <v>832.55923879997431</v>
      </c>
      <c r="U26" s="476">
        <f>IF($K$8&gt;=$K$9,"",cal!V27)</f>
        <v>0.13979408564269782</v>
      </c>
      <c r="V26" s="405"/>
    </row>
    <row r="27" spans="2:22" ht="0.2" customHeight="1" x14ac:dyDescent="0.25">
      <c r="B27" s="195">
        <f>cal!B28</f>
        <v>0.7</v>
      </c>
      <c r="C27" s="30">
        <f>cal!C28</f>
        <v>7</v>
      </c>
      <c r="D27" s="146">
        <f>IF($E$8&lt;=$E$9,"",cal!D28)</f>
        <v>-176.58230878697927</v>
      </c>
      <c r="E27" s="147">
        <f>IF($E$8&lt;=$E$9,"",cal!E28)</f>
        <v>-15</v>
      </c>
      <c r="F27" s="148" t="e">
        <f>IF($E$8&lt;=$E$9,"",cal!F28)</f>
        <v>#NUM!</v>
      </c>
      <c r="G27" s="149">
        <f>IF($K$8&gt;=$K$9,"",cal!G28)</f>
        <v>5.8527436755953275</v>
      </c>
      <c r="H27" s="149">
        <f>IF($K$8&gt;=$K$9,"",IF($M$4="High Perform. 208/230V (US/EU)",cal!HK28,cal!H28))</f>
        <v>5.8527436755953275</v>
      </c>
      <c r="I27" s="147">
        <f>IF($K$8&gt;=$K$9,"",cal!I28)</f>
        <v>3</v>
      </c>
      <c r="J27" s="150">
        <f>IF($K$8&gt;=$K$9,"",cal!J28)</f>
        <v>5.579193318791106E-4</v>
      </c>
      <c r="K27" s="527">
        <f>cal!K28</f>
        <v>0</v>
      </c>
      <c r="L27" s="271">
        <f>cal!L28</f>
        <v>0</v>
      </c>
      <c r="M27" s="151">
        <f>cal!M28</f>
        <v>0</v>
      </c>
      <c r="N27" s="149">
        <f>cal!N28</f>
        <v>0</v>
      </c>
      <c r="O27" s="271">
        <f>cal!O28</f>
        <v>0</v>
      </c>
      <c r="P27" s="320" t="e">
        <f>IF($E$8&lt;=$E$9,"",cal!P28)</f>
        <v>#DIV/0!</v>
      </c>
      <c r="Q27" s="152" t="e">
        <f>IF($K$8&gt;=$K$9,"",cal!R28)</f>
        <v>#DIV/0!</v>
      </c>
      <c r="R27" s="152" t="e">
        <f>IF($K$8&gt;=$K$9,"",cal!S28)</f>
        <v>#DIV/0!</v>
      </c>
      <c r="S27" s="272" t="e">
        <f>IF($K$8&gt;=$K$9,"",cal!T28)</f>
        <v>#DIV/0!</v>
      </c>
      <c r="T27" s="410">
        <f>IF($K$8&gt;=$K$9,"",cal!U28)</f>
        <v>0</v>
      </c>
      <c r="U27" s="476" t="e">
        <f>IF($K$8&gt;=$K$9,"",cal!V28)</f>
        <v>#DIV/0!</v>
      </c>
      <c r="V27" s="405"/>
    </row>
    <row r="28" spans="2:22" ht="15" customHeight="1" x14ac:dyDescent="0.25">
      <c r="B28" s="195">
        <f>cal!B29</f>
        <v>0.8</v>
      </c>
      <c r="C28" s="30">
        <f>cal!C29</f>
        <v>8</v>
      </c>
      <c r="D28" s="146">
        <f>IF($E$8&lt;=$E$9,"",cal!D29)</f>
        <v>6744.3969588288546</v>
      </c>
      <c r="E28" s="147">
        <f>IF($E$8&lt;=$E$9,"",cal!E29)</f>
        <v>580</v>
      </c>
      <c r="F28" s="148">
        <f>IF($E$8&lt;=$E$9,"",cal!F29)</f>
        <v>8.480774212087125</v>
      </c>
      <c r="G28" s="149">
        <f>IF($K$8&gt;=$K$9,"",cal!G29)</f>
        <v>1371.8997657119116</v>
      </c>
      <c r="H28" s="149">
        <f>IF($K$8&gt;=$K$9,"",IF($M$4="High Perform. 208/230V (US/EU)",cal!HK29,cal!H29))</f>
        <v>1371.8997657119116</v>
      </c>
      <c r="I28" s="147">
        <f>IF($K$8&gt;=$K$9,"",cal!I29)</f>
        <v>590</v>
      </c>
      <c r="J28" s="150">
        <f>IF($K$8&gt;=$K$9,"",cal!J29)</f>
        <v>8.7501341003253881</v>
      </c>
      <c r="K28" s="527">
        <f>cal!K29</f>
        <v>45</v>
      </c>
      <c r="L28" s="271">
        <f>cal!L29</f>
        <v>53</v>
      </c>
      <c r="M28" s="151">
        <f>cal!M29</f>
        <v>31.879079582988997</v>
      </c>
      <c r="N28" s="149">
        <f>cal!N29</f>
        <v>579.16166099999998</v>
      </c>
      <c r="O28" s="271">
        <f>cal!O29</f>
        <v>0.97501963131313119</v>
      </c>
      <c r="P28" s="320">
        <f>IF($E$8&lt;=$E$9,"",cal!P29)</f>
        <v>54.182128860973364</v>
      </c>
      <c r="Q28" s="152">
        <f>IF($K$8&gt;=$K$9,"",cal!R29)</f>
        <v>19.959546895047005</v>
      </c>
      <c r="R28" s="152">
        <f>IF($K$8&gt;=$K$9,"",cal!S29)</f>
        <v>17.128859131157803</v>
      </c>
      <c r="S28" s="272">
        <f>IF($K$8&gt;=$K$9,"",cal!T29)</f>
        <v>0.76384893426171485</v>
      </c>
      <c r="T28" s="410">
        <f>IF($K$8&gt;=$K$9,"",cal!U29)</f>
        <v>1002.7134849674694</v>
      </c>
      <c r="U28" s="476">
        <f>IF($K$8&gt;=$K$9,"",cal!V29)</f>
        <v>0.19815656702932274</v>
      </c>
      <c r="V28" s="405"/>
    </row>
    <row r="29" spans="2:22" ht="15" customHeight="1" x14ac:dyDescent="0.25">
      <c r="B29" s="195">
        <f>cal!B30</f>
        <v>1</v>
      </c>
      <c r="C29" s="30">
        <f>cal!C30</f>
        <v>10</v>
      </c>
      <c r="D29" s="146">
        <f>IF($E$8&lt;=$E$9,"",cal!D30)</f>
        <v>7515.1393634362894</v>
      </c>
      <c r="E29" s="147">
        <f>IF($E$8&lt;=$E$9,"",cal!E30)</f>
        <v>646</v>
      </c>
      <c r="F29" s="148">
        <f>IF($E$8&lt;=$E$9,"",cal!F30)</f>
        <v>10.328690311651778</v>
      </c>
      <c r="G29" s="149">
        <f>IF($K$8&gt;=$K$9,"",cal!G30)</f>
        <v>1532.7406174704122</v>
      </c>
      <c r="H29" s="149">
        <f>IF($K$8&gt;=$K$9,"",cal!H30)</f>
        <v>1532.7406174704122</v>
      </c>
      <c r="I29" s="147">
        <f>IF($K$8&gt;=$K$9,"",cal!I30)</f>
        <v>659</v>
      </c>
      <c r="J29" s="150">
        <f>IF($K$8&gt;=$K$9,"",cal!J30)</f>
        <v>10.712040232877664</v>
      </c>
      <c r="K29" s="527">
        <f>cal!K30</f>
        <v>49</v>
      </c>
      <c r="L29" s="271">
        <f>cal!L30</f>
        <v>57</v>
      </c>
      <c r="M29" s="151">
        <f>cal!M30</f>
        <v>46.363581461802681</v>
      </c>
      <c r="N29" s="149">
        <f>cal!N30</f>
        <v>680.79672100000005</v>
      </c>
      <c r="O29" s="271">
        <f>cal!O30</f>
        <v>1.1461224259259259</v>
      </c>
      <c r="P29" s="320">
        <f>IF($E$8&lt;=$E$9,"",cal!P30)</f>
        <v>52.402265147039785</v>
      </c>
      <c r="Q29" s="152">
        <f>IF($K$8&gt;=$K$9,"",cal!R30)</f>
        <v>20.308411222994504</v>
      </c>
      <c r="R29" s="152">
        <f>IF($K$8&gt;=$K$9,"",cal!S30)</f>
        <v>17.246683477907272</v>
      </c>
      <c r="S29" s="272">
        <f>IF($K$8&gt;=$K$9,"",cal!T30)</f>
        <v>0.74756962623939527</v>
      </c>
      <c r="T29" s="411">
        <f>IF($K$8&gt;=$K$9,"",cal!U30)</f>
        <v>1119.0768344085554</v>
      </c>
      <c r="U29" s="476">
        <f>IF($K$8&gt;=$K$9,"",cal!V30)</f>
        <v>0.24516700523663312</v>
      </c>
      <c r="V29" s="405"/>
    </row>
    <row r="30" spans="2:22" ht="17.100000000000001" customHeight="1" x14ac:dyDescent="0.25">
      <c r="B30" s="571" t="str">
        <f>IF(cal!$BK$17="11",cal!B31,IF(cal!$BK$17="21",cal!B31,IF(cal!$BK$17="12",cal!B31,IF(cal!$BK$17="22",cal!B31,IF(cal!$BK$17="13",cal!B31,IF(cal!$BK$17="23",cal!B31,IF(cal!$BK$17="14",cal!B31,IF(cal!$BK$17="24",cal!B31,IF(cal!$BK$17="31","",IF(cal!$BK$17="32","",IF(cal!$BK$17="33","",IF(cal!$BK$17="34","",IF(cal!$BK$17="41","",IF(cal!$BK$17="42","",IF(cal!$BK$17="43","",IF(cal!$BK$17="44","",))))))))))))))))</f>
        <v>Briza 22 (230V) height 54,5 cm, width 22 cm, length 95 cm (Type 04)</v>
      </c>
      <c r="C30" s="572"/>
      <c r="D30" s="573"/>
      <c r="E30" s="573"/>
      <c r="F30" s="573"/>
      <c r="G30" s="573"/>
      <c r="H30" s="573"/>
      <c r="I30" s="573"/>
      <c r="J30" s="573"/>
      <c r="K30" s="573"/>
      <c r="L30" s="573"/>
      <c r="M30" s="573"/>
      <c r="N30" s="574"/>
      <c r="O30" s="574"/>
      <c r="P30" s="574"/>
      <c r="Q30" s="574"/>
      <c r="R30" s="574"/>
      <c r="S30" s="574"/>
      <c r="T30" s="574"/>
      <c r="U30" s="575"/>
      <c r="V30" s="405"/>
    </row>
    <row r="31" spans="2:22" ht="15" customHeight="1" x14ac:dyDescent="0.25">
      <c r="B31" s="195">
        <f>cal!B32</f>
        <v>0.2</v>
      </c>
      <c r="C31" s="30">
        <f>cal!C32</f>
        <v>2</v>
      </c>
      <c r="D31" s="146">
        <f>IF($E$8&lt;=$E$9,cal!$AC$6,cal!D32)</f>
        <v>3210.5181232071163</v>
      </c>
      <c r="E31" s="147">
        <f>IF($E$8&lt;=$E$9,"",cal!E32)</f>
        <v>276</v>
      </c>
      <c r="F31" s="148">
        <f>IF($E$8&lt;=$E$9,"",cal!F32)</f>
        <v>2.5586451474518461</v>
      </c>
      <c r="G31" s="149">
        <f>IF($K$8&gt;=$K$9,cal!$AC$6,cal!G32)</f>
        <v>746.82954556610878</v>
      </c>
      <c r="H31" s="149">
        <f>IF($K$8&gt;=$K$9,"",cal!H32)</f>
        <v>746.82954556610878</v>
      </c>
      <c r="I31" s="147">
        <f>IF($K$8&gt;=$K$9,"",cal!I32)</f>
        <v>321</v>
      </c>
      <c r="J31" s="150">
        <f>IF($K$8&gt;=$K$9,"",cal!J32)</f>
        <v>3.3735100324461316</v>
      </c>
      <c r="K31" s="527">
        <f>cal!K32</f>
        <v>22</v>
      </c>
      <c r="L31" s="271">
        <f>cal!L32</f>
        <v>30</v>
      </c>
      <c r="M31" s="151">
        <f>cal!M32</f>
        <v>3.9322340977366461</v>
      </c>
      <c r="N31" s="149">
        <f>cal!N32</f>
        <v>247.22018299999999</v>
      </c>
      <c r="O31" s="271">
        <f>cal!O32</f>
        <v>0.32857546916533759</v>
      </c>
      <c r="P31" s="320">
        <f>IF($E$8&lt;=$E$9,"",cal!P32)</f>
        <v>58.11948199690513</v>
      </c>
      <c r="Q31" s="152">
        <f>IF($K$8&gt;=$K$9,"",cal!R32)</f>
        <v>18.0212557681714</v>
      </c>
      <c r="R31" s="152">
        <f>IF($K$8&gt;=$K$9,"",cal!S32)</f>
        <v>16.464973194636521</v>
      </c>
      <c r="S31" s="272">
        <f>IF($K$8&gt;=$K$9,"",cal!T32)</f>
        <v>0.86189310138810438</v>
      </c>
      <c r="T31" s="409">
        <f>IF($K$8&gt;=$K$9,"",cal!U32)</f>
        <v>417.34020594779582</v>
      </c>
      <c r="U31" s="476">
        <f>IF($K$8&gt;=$K$9,"",cal!V32)</f>
        <v>5.7260869966478133E-2</v>
      </c>
      <c r="V31" s="405"/>
    </row>
    <row r="32" spans="2:22" ht="15" customHeight="1" x14ac:dyDescent="0.25">
      <c r="B32" s="195">
        <f>cal!B33</f>
        <v>0.4</v>
      </c>
      <c r="C32" s="30">
        <f>cal!C33</f>
        <v>4</v>
      </c>
      <c r="D32" s="146">
        <f>IF($E$8&lt;=$E$9,cal!$AC$7,cal!D33)</f>
        <v>5519.5752273924818</v>
      </c>
      <c r="E32" s="147">
        <f>IF($E$8&lt;=$E$9,"",cal!E33)</f>
        <v>475</v>
      </c>
      <c r="F32" s="148">
        <f>IF($E$8&lt;=$E$9,"",cal!F33)</f>
        <v>6.9120753049022925</v>
      </c>
      <c r="G32" s="149">
        <f>IF($K$8&gt;=$K$9,cal!$AC$8,cal!G33)</f>
        <v>1265.5751323529887</v>
      </c>
      <c r="H32" s="149">
        <f>IF($K$8&gt;=$K$9,"",cal!H33)</f>
        <v>1265.5751323529887</v>
      </c>
      <c r="I32" s="147">
        <f>IF($K$8&gt;=$K$9,"",cal!I33)</f>
        <v>544</v>
      </c>
      <c r="J32" s="150">
        <f>IF($K$8&gt;=$K$9,"",cal!J33)</f>
        <v>8.8599914238837556</v>
      </c>
      <c r="K32" s="527">
        <f>cal!K33</f>
        <v>29.5</v>
      </c>
      <c r="L32" s="271">
        <f>cal!L33</f>
        <v>37.5</v>
      </c>
      <c r="M32" s="151">
        <f>cal!M33</f>
        <v>9.8580970360757014</v>
      </c>
      <c r="N32" s="149">
        <f>cal!N33</f>
        <v>412.80249099999997</v>
      </c>
      <c r="O32" s="271">
        <f>cal!O33</f>
        <v>0.54864764885699091</v>
      </c>
      <c r="P32" s="320">
        <f>IF($E$8&lt;=$E$9,"",cal!P33)</f>
        <v>59.248145026513207</v>
      </c>
      <c r="Q32" s="152">
        <f>IF($K$8&gt;=$K$9,"",cal!R33)</f>
        <v>17.88779133166592</v>
      </c>
      <c r="R32" s="152">
        <f>IF($K$8&gt;=$K$9,"",cal!S33)</f>
        <v>16.418671423828709</v>
      </c>
      <c r="S32" s="272">
        <f>IF($K$8&gt;=$K$9,"",cal!T33)</f>
        <v>0.86914839652128428</v>
      </c>
      <c r="T32" s="410">
        <f>IF($K$8&gt;=$K$9,"",cal!U33)</f>
        <v>624.16584201423916</v>
      </c>
      <c r="U32" s="476">
        <f>IF($K$8&gt;=$K$9,"",cal!V33)</f>
        <v>8.5971257692513611E-2</v>
      </c>
      <c r="V32" s="405"/>
    </row>
    <row r="33" spans="2:22" ht="0.2" customHeight="1" x14ac:dyDescent="0.25">
      <c r="B33" s="195">
        <f>cal!B34</f>
        <v>0.5</v>
      </c>
      <c r="C33" s="30">
        <f>cal!C34</f>
        <v>5</v>
      </c>
      <c r="D33" s="146">
        <f>IF($E$8&lt;=$E$9,"",cal!D34)</f>
        <v>-828.84789071449211</v>
      </c>
      <c r="E33" s="147">
        <f>IF($E$8&lt;=$E$9,"",cal!E34)</f>
        <v>-71</v>
      </c>
      <c r="F33" s="148" t="e">
        <f>IF($E$8&lt;=$E$9,"",cal!F34)</f>
        <v>#NUM!</v>
      </c>
      <c r="G33" s="149">
        <f>IF($K$8&gt;=$K$9,"",cal!G34)</f>
        <v>-168.87699058900006</v>
      </c>
      <c r="H33" s="149">
        <f>IF($K$8&gt;=$K$9,"",IF($M$4="High Perform. 208/230V (US/EU)",cal!HK34,cal!H34))</f>
        <v>-168.87699058900006</v>
      </c>
      <c r="I33" s="147">
        <f>IF($K$8&gt;=$K$9,"",cal!I34)</f>
        <v>-73</v>
      </c>
      <c r="J33" s="150" t="e">
        <f>IF($K$8&gt;=$K$9,"",cal!J34)</f>
        <v>#NUM!</v>
      </c>
      <c r="K33" s="527">
        <f>cal!K34</f>
        <v>0</v>
      </c>
      <c r="L33" s="271">
        <f>cal!L34</f>
        <v>0</v>
      </c>
      <c r="M33" s="151">
        <f>cal!M34</f>
        <v>0</v>
      </c>
      <c r="N33" s="149">
        <f>cal!N34</f>
        <v>0</v>
      </c>
      <c r="O33" s="271">
        <f>cal!O34</f>
        <v>0</v>
      </c>
      <c r="P33" s="320" t="e">
        <f>IF($E$8&lt;=$E$9,"",cal!P34)</f>
        <v>#DIV/0!</v>
      </c>
      <c r="Q33" s="152" t="e">
        <f>IF($K$8&gt;=$K$9,"",cal!R34)</f>
        <v>#DIV/0!</v>
      </c>
      <c r="R33" s="152" t="e">
        <f>IF($K$8&gt;=$K$9,"",cal!S34)</f>
        <v>#DIV/0!</v>
      </c>
      <c r="S33" s="272" t="e">
        <f>IF($K$8&gt;=$K$9,"",cal!T34)</f>
        <v>#DIV/0!</v>
      </c>
      <c r="T33" s="410">
        <f>IF($K$8&gt;=$K$9,"",cal!U34)</f>
        <v>0</v>
      </c>
      <c r="U33" s="476" t="e">
        <f>IF($K$8&gt;=$K$9,"",cal!V34)</f>
        <v>#DIV/0!</v>
      </c>
      <c r="V33" s="405"/>
    </row>
    <row r="34" spans="2:22" ht="15" customHeight="1" x14ac:dyDescent="0.25">
      <c r="B34" s="195">
        <f>cal!B35</f>
        <v>0.6</v>
      </c>
      <c r="C34" s="30">
        <f>cal!C35</f>
        <v>6</v>
      </c>
      <c r="D34" s="146">
        <f>IF($E$8&lt;=$E$9,"",cal!D35)</f>
        <v>7359.7021092057121</v>
      </c>
      <c r="E34" s="147">
        <f>IF($E$8&lt;=$E$9,"",cal!E35)</f>
        <v>633</v>
      </c>
      <c r="F34" s="148">
        <f>IF($E$8&lt;=$E$9,"",cal!F35)</f>
        <v>11.691966501114814</v>
      </c>
      <c r="G34" s="149">
        <f>IF($K$8&gt;=$K$9,"",cal!G35)</f>
        <v>1675.0755144910545</v>
      </c>
      <c r="H34" s="149">
        <f>IF($K$8&gt;=$K$9,"",IF($M$4="High Perform. 208/230V (US/EU)",cal!HK35,cal!H35))</f>
        <v>1675.0755144910545</v>
      </c>
      <c r="I34" s="147">
        <f>IF($K$8&gt;=$K$9,"",cal!I35)</f>
        <v>720</v>
      </c>
      <c r="J34" s="150">
        <f>IF($K$8&gt;=$K$9,"",cal!J35)</f>
        <v>14.800077115227213</v>
      </c>
      <c r="K34" s="527">
        <f>cal!K35</f>
        <v>37</v>
      </c>
      <c r="L34" s="271">
        <f>cal!L35</f>
        <v>45</v>
      </c>
      <c r="M34" s="151">
        <f>cal!M35</f>
        <v>20.589359735431245</v>
      </c>
      <c r="N34" s="149">
        <f>cal!N35</f>
        <v>564.84127899999999</v>
      </c>
      <c r="O34" s="271">
        <f>cal!O35</f>
        <v>0.75071940324295583</v>
      </c>
      <c r="P34" s="320">
        <f>IF($E$8&lt;=$E$9,"",cal!P35)</f>
        <v>58.246314913195711</v>
      </c>
      <c r="Q34" s="152">
        <f>IF($K$8&gt;=$K$9,"",cal!R35)</f>
        <v>18.185737185141427</v>
      </c>
      <c r="R34" s="152">
        <f>IF($K$8&gt;=$K$9,"",cal!S35)</f>
        <v>16.5219295645473</v>
      </c>
      <c r="S34" s="272">
        <f>IF($K$8&gt;=$K$9,"",cal!T35)</f>
        <v>0.85304520350089763</v>
      </c>
      <c r="T34" s="410">
        <f>IF($K$8&gt;=$K$9,"",cal!U35)</f>
        <v>797.69768051197843</v>
      </c>
      <c r="U34" s="476">
        <f>IF($K$8&gt;=$K$9,"",cal!V35)</f>
        <v>0.13122570499588518</v>
      </c>
      <c r="V34" s="405"/>
    </row>
    <row r="35" spans="2:22" ht="0.2" customHeight="1" x14ac:dyDescent="0.25">
      <c r="B35" s="195">
        <f>cal!B36</f>
        <v>0.7</v>
      </c>
      <c r="C35" s="30">
        <f>cal!C36</f>
        <v>7</v>
      </c>
      <c r="D35" s="146">
        <f>IF($E$8&lt;=$E$9,"",cal!D36)</f>
        <v>-828.84789071449211</v>
      </c>
      <c r="E35" s="147">
        <f>IF($E$8&lt;=$E$9,"",cal!E36)</f>
        <v>-71</v>
      </c>
      <c r="F35" s="148" t="e">
        <f>IF($E$8&lt;=$E$9,"",cal!F36)</f>
        <v>#NUM!</v>
      </c>
      <c r="G35" s="149">
        <f>IF($K$8&gt;=$K$9,"",cal!G36)</f>
        <v>-168.87699058900006</v>
      </c>
      <c r="H35" s="149">
        <f>IF($K$8&gt;=$K$9,"",IF($M$4="High Perform. 208/230V (US/EU)",cal!HK36,cal!H36))</f>
        <v>-168.87699058900006</v>
      </c>
      <c r="I35" s="147">
        <f>IF($K$8&gt;=$K$9,"",cal!I36)</f>
        <v>-73</v>
      </c>
      <c r="J35" s="150" t="e">
        <f>IF($K$8&gt;=$K$9,"",cal!J36)</f>
        <v>#NUM!</v>
      </c>
      <c r="K35" s="527">
        <f>cal!K36</f>
        <v>0</v>
      </c>
      <c r="L35" s="271">
        <f>cal!L36</f>
        <v>0</v>
      </c>
      <c r="M35" s="151">
        <f>cal!M36</f>
        <v>0</v>
      </c>
      <c r="N35" s="149">
        <f>cal!N36</f>
        <v>0</v>
      </c>
      <c r="O35" s="271">
        <f>cal!O36</f>
        <v>0</v>
      </c>
      <c r="P35" s="320" t="e">
        <f>IF($E$8&lt;=$E$9,"",cal!P36)</f>
        <v>#DIV/0!</v>
      </c>
      <c r="Q35" s="152" t="e">
        <f>IF($K$8&gt;=$K$9,"",cal!R36)</f>
        <v>#DIV/0!</v>
      </c>
      <c r="R35" s="152" t="e">
        <f>IF($K$8&gt;=$K$9,"",cal!S36)</f>
        <v>#DIV/0!</v>
      </c>
      <c r="S35" s="272" t="e">
        <f>IF($K$8&gt;=$K$9,"",cal!T36)</f>
        <v>#DIV/0!</v>
      </c>
      <c r="T35" s="410">
        <f>IF($K$8&gt;=$K$9,"",cal!U36)</f>
        <v>0</v>
      </c>
      <c r="U35" s="476" t="e">
        <f>IF($K$8&gt;=$K$9,"",cal!V36)</f>
        <v>#DIV/0!</v>
      </c>
      <c r="V35" s="405"/>
    </row>
    <row r="36" spans="2:22" ht="15" customHeight="1" x14ac:dyDescent="0.25">
      <c r="B36" s="195">
        <f>cal!B37</f>
        <v>0.8</v>
      </c>
      <c r="C36" s="30">
        <f>cal!C37</f>
        <v>8</v>
      </c>
      <c r="D36" s="146">
        <f>IF($E$8&lt;=$E$9,"",cal!D37)</f>
        <v>8836.6243782894217</v>
      </c>
      <c r="E36" s="147">
        <f>IF($E$8&lt;=$E$9,"",cal!E37)</f>
        <v>760</v>
      </c>
      <c r="F36" s="148">
        <f>IF($E$8&lt;=$E$9,"",cal!F37)</f>
        <v>16.339757574578403</v>
      </c>
      <c r="G36" s="149">
        <f>IF($K$8&gt;=$K$9,"",cal!G37)</f>
        <v>1999.8646552383141</v>
      </c>
      <c r="H36" s="149">
        <f>IF($K$8&gt;=$K$9,"",IF($M$4="High Perform. 208/230V (US/EU)",cal!HK37,cal!H37))</f>
        <v>1999.8646552383141</v>
      </c>
      <c r="I36" s="147">
        <f>IF($K$8&gt;=$K$9,"",cal!I37)</f>
        <v>860</v>
      </c>
      <c r="J36" s="150">
        <f>IF($K$8&gt;=$K$9,"",cal!J37)</f>
        <v>20.488707609949881</v>
      </c>
      <c r="K36" s="527">
        <f>cal!K37</f>
        <v>42.5</v>
      </c>
      <c r="L36" s="271">
        <f>cal!L37</f>
        <v>50.5</v>
      </c>
      <c r="M36" s="151">
        <f>cal!M37</f>
        <v>35.896108086935484</v>
      </c>
      <c r="N36" s="149">
        <f>cal!N37</f>
        <v>706.88795000000005</v>
      </c>
      <c r="O36" s="271">
        <f>cal!O37</f>
        <v>0.93951083200425312</v>
      </c>
      <c r="P36" s="320">
        <f>IF($E$8&lt;=$E$9,"",cal!P37)</f>
        <v>56.69370831153303</v>
      </c>
      <c r="Q36" s="152">
        <f>IF($K$8&gt;=$K$9,"",cal!R37)</f>
        <v>18.591315464905676</v>
      </c>
      <c r="R36" s="152">
        <f>IF($K$8&gt;=$K$9,"",cal!S37)</f>
        <v>16.661875971188984</v>
      </c>
      <c r="S36" s="272">
        <f>IF($K$8&gt;=$K$9,"",cal!T37)</f>
        <v>0.83166129103078035</v>
      </c>
      <c r="T36" s="410">
        <f>IF($K$8&gt;=$K$9,"",cal!U37)</f>
        <v>947.48054821301059</v>
      </c>
      <c r="U36" s="476">
        <f>IF($K$8&gt;=$K$9,"",cal!V37)</f>
        <v>0.18280972127614814</v>
      </c>
      <c r="V36" s="405"/>
    </row>
    <row r="37" spans="2:22" ht="15" customHeight="1" x14ac:dyDescent="0.25">
      <c r="B37" s="195">
        <f>cal!B38</f>
        <v>1</v>
      </c>
      <c r="C37" s="30">
        <f>cal!C38</f>
        <v>10</v>
      </c>
      <c r="D37" s="146">
        <f>IF($E$8&lt;=$E$9,"",cal!D38)</f>
        <v>9757.8963376390766</v>
      </c>
      <c r="E37" s="147">
        <f>IF($E$8&lt;=$E$9,"",cal!E38)</f>
        <v>839</v>
      </c>
      <c r="F37" s="148">
        <f>IF($E$8&lt;=$E$9,"",cal!F38)</f>
        <v>19.582207794636734</v>
      </c>
      <c r="G37" s="149">
        <f>IF($K$8&gt;=$K$9,"",cal!G38)</f>
        <v>2199.744151575901</v>
      </c>
      <c r="H37" s="149">
        <f>IF($K$8&gt;=$K$9,"",cal!H38)</f>
        <v>2199.744151575901</v>
      </c>
      <c r="I37" s="147">
        <f>IF($K$8&gt;=$K$9,"",cal!I38)</f>
        <v>946</v>
      </c>
      <c r="J37" s="150">
        <f>IF($K$8&gt;=$K$9,"",cal!J38)</f>
        <v>24.393997017324629</v>
      </c>
      <c r="K37" s="527">
        <f>cal!K38</f>
        <v>46.5</v>
      </c>
      <c r="L37" s="271">
        <f>cal!L38</f>
        <v>54.5</v>
      </c>
      <c r="M37" s="151">
        <f>cal!M38</f>
        <v>51.222492488429708</v>
      </c>
      <c r="N37" s="149">
        <f>cal!N38</f>
        <v>809.49599899999998</v>
      </c>
      <c r="O37" s="271">
        <f>cal!O38</f>
        <v>1.0758851661350346</v>
      </c>
      <c r="P37" s="320">
        <f>IF($E$8&lt;=$E$9,"",cal!P38)</f>
        <v>55.38321421226928</v>
      </c>
      <c r="Q37" s="152">
        <f>IF($K$8&gt;=$K$9,"",cal!R38)</f>
        <v>18.923271239401487</v>
      </c>
      <c r="R37" s="152">
        <f>IF($K$8&gt;=$K$9,"",cal!S38)</f>
        <v>16.775896668998776</v>
      </c>
      <c r="S37" s="272">
        <f>IF($K$8&gt;=$K$9,"",cal!T38)</f>
        <v>0.8146072630477551</v>
      </c>
      <c r="T37" s="411">
        <f>IF($K$8&gt;=$K$9,"",cal!U38)</f>
        <v>1048.5357220807407</v>
      </c>
      <c r="U37" s="476">
        <f>IF($K$8&gt;=$K$9,"",cal!V38)</f>
        <v>0.227797262971212</v>
      </c>
      <c r="V37" s="405"/>
    </row>
    <row r="38" spans="2:22" ht="17.100000000000001" customHeight="1" x14ac:dyDescent="0.25">
      <c r="B38" s="571" t="str">
        <f>cal!B39</f>
        <v>Briza 22 (230V) height 54,5 cm, width 22 cm, length 125 cm (Type 06)</v>
      </c>
      <c r="C38" s="572"/>
      <c r="D38" s="573"/>
      <c r="E38" s="573"/>
      <c r="F38" s="573"/>
      <c r="G38" s="573"/>
      <c r="H38" s="573"/>
      <c r="I38" s="573"/>
      <c r="J38" s="573"/>
      <c r="K38" s="573"/>
      <c r="L38" s="573"/>
      <c r="M38" s="573"/>
      <c r="N38" s="574"/>
      <c r="O38" s="574"/>
      <c r="P38" s="574"/>
      <c r="Q38" s="574"/>
      <c r="R38" s="574"/>
      <c r="S38" s="574"/>
      <c r="T38" s="574"/>
      <c r="U38" s="575"/>
      <c r="V38" s="405"/>
    </row>
    <row r="39" spans="2:22" ht="15" customHeight="1" x14ac:dyDescent="0.25">
      <c r="B39" s="195">
        <f>cal!B40</f>
        <v>0.2</v>
      </c>
      <c r="C39" s="30">
        <f>cal!C40</f>
        <v>2</v>
      </c>
      <c r="D39" s="146">
        <f>IF($E$8&lt;=$E$9,cal!$AC$6,cal!D40)</f>
        <v>4291.0176915798993</v>
      </c>
      <c r="E39" s="147">
        <f>IF($E$8&lt;=$E$9,"",cal!E40)</f>
        <v>369</v>
      </c>
      <c r="F39" s="148">
        <f>IF($E$8&lt;=$E$9,"",cal!F40)</f>
        <v>1.5453521305701372</v>
      </c>
      <c r="G39" s="149">
        <f>IF($K$8&gt;=$K$9,cal!$AC$6,cal!G40)</f>
        <v>787.46513030970436</v>
      </c>
      <c r="H39" s="149">
        <f>IF($K$8&gt;=$K$9,"",cal!H40)</f>
        <v>787.46513030970436</v>
      </c>
      <c r="I39" s="147">
        <f>IF($K$8&gt;=$K$9,"",cal!I40)</f>
        <v>339</v>
      </c>
      <c r="J39" s="150">
        <f>IF($K$8&gt;=$K$9,"",cal!J40)</f>
        <v>1.3210574013780749</v>
      </c>
      <c r="K39" s="527">
        <f>cal!K40</f>
        <v>28</v>
      </c>
      <c r="L39" s="271">
        <f>cal!L40</f>
        <v>36</v>
      </c>
      <c r="M39" s="151">
        <f>cal!M40</f>
        <v>7.2445213909266313</v>
      </c>
      <c r="N39" s="149">
        <f>cal!N40</f>
        <v>333.863698</v>
      </c>
      <c r="O39" s="271">
        <f>cal!O40</f>
        <v>0.33723605858585859</v>
      </c>
      <c r="P39" s="320">
        <f>IF($E$8&lt;=$E$9,"",cal!P40)</f>
        <v>57.72653279232437</v>
      </c>
      <c r="Q39" s="152">
        <f>IF($K$8&gt;=$K$9,"",cal!R40)</f>
        <v>19.989642503779152</v>
      </c>
      <c r="R39" s="152">
        <f>IF($K$8&gt;=$K$9,"",cal!S40)</f>
        <v>17.139043232551529</v>
      </c>
      <c r="S39" s="272">
        <f>IF($K$8&gt;=$K$9,"",cal!T40)</f>
        <v>0.76242894539719197</v>
      </c>
      <c r="T39" s="409">
        <f>IF($K$8&gt;=$K$9,"",cal!U40)</f>
        <v>433.21562454042123</v>
      </c>
      <c r="U39" s="476">
        <f>IF($K$8&gt;=$K$9,"",cal!V40)</f>
        <v>7.8116540263493614E-2</v>
      </c>
      <c r="V39" s="405"/>
    </row>
    <row r="40" spans="2:22" ht="15" customHeight="1" x14ac:dyDescent="0.25">
      <c r="B40" s="195">
        <f>cal!B41</f>
        <v>0.4</v>
      </c>
      <c r="C40" s="30">
        <f>cal!C41</f>
        <v>4</v>
      </c>
      <c r="D40" s="146">
        <f>IF($E$8&lt;=$E$9,cal!$AC$7,cal!D41)</f>
        <v>7376.4964845777067</v>
      </c>
      <c r="E40" s="147">
        <f>IF($E$8&lt;=$E$9,"",cal!E41)</f>
        <v>634</v>
      </c>
      <c r="F40" s="148">
        <f>IF($E$8&lt;=$E$9,"",cal!F41)</f>
        <v>4.2047808408493932</v>
      </c>
      <c r="G40" s="149">
        <f>IF($K$8&gt;=$K$9,cal!$AC$8,cal!G41)</f>
        <v>1367.0915050620499</v>
      </c>
      <c r="H40" s="149">
        <f>IF($K$8&gt;=$K$9,"",cal!H41)</f>
        <v>1367.0915050620499</v>
      </c>
      <c r="I40" s="147">
        <f>IF($K$8&gt;=$K$9,"",cal!I41)</f>
        <v>588</v>
      </c>
      <c r="J40" s="150">
        <f>IF($K$8&gt;=$K$9,"",cal!J41)</f>
        <v>3.6580296935028449</v>
      </c>
      <c r="K40" s="527">
        <f>cal!K41</f>
        <v>36</v>
      </c>
      <c r="L40" s="271">
        <f>cal!L41</f>
        <v>44</v>
      </c>
      <c r="M40" s="151">
        <f>cal!M41</f>
        <v>17.456415028346257</v>
      </c>
      <c r="N40" s="149">
        <f>cal!N41</f>
        <v>614.41624300000001</v>
      </c>
      <c r="O40" s="271">
        <f>cal!O41</f>
        <v>0.62062246767676765</v>
      </c>
      <c r="P40" s="320">
        <f>IF($E$8&lt;=$E$9,"",cal!P41)</f>
        <v>55.240595578604662</v>
      </c>
      <c r="Q40" s="152">
        <f>IF($K$8&gt;=$K$9,"",cal!R41)</f>
        <v>20.386780625775728</v>
      </c>
      <c r="R40" s="152">
        <f>IF($K$8&gt;=$K$9,"",cal!S41)</f>
        <v>17.273083165092565</v>
      </c>
      <c r="S40" s="272">
        <f>IF($K$8&gt;=$K$9,"",cal!T41)</f>
        <v>0.74396656712355214</v>
      </c>
      <c r="T40" s="410">
        <f>IF($K$8&gt;=$K$9,"",cal!U41)</f>
        <v>645.616528470606</v>
      </c>
      <c r="U40" s="476">
        <f>IF($K$8&gt;=$K$9,"",cal!V41)</f>
        <v>0.1022809777866607</v>
      </c>
      <c r="V40" s="405"/>
    </row>
    <row r="41" spans="2:22" ht="0.2" customHeight="1" x14ac:dyDescent="0.25">
      <c r="B41" s="195">
        <f>cal!B42</f>
        <v>0.5</v>
      </c>
      <c r="C41" s="30">
        <f>cal!C42</f>
        <v>5</v>
      </c>
      <c r="D41" s="146">
        <f>IF($E$8&lt;=$E$9,"",cal!D42)</f>
        <v>150.1817637989142</v>
      </c>
      <c r="E41" s="147">
        <f>IF($E$8&lt;=$E$9,"",cal!E42)</f>
        <v>13</v>
      </c>
      <c r="F41" s="148">
        <f>IF($E$8&lt;=$E$9,"",cal!F42)</f>
        <v>3.1750740080079519E-3</v>
      </c>
      <c r="G41" s="149">
        <f>IF($K$8&gt;=$K$9,"",cal!G42)</f>
        <v>60.772153152502042</v>
      </c>
      <c r="H41" s="149">
        <f>IF($K$8&gt;=$K$9,"",IF($M$4="High Perform. 208/230V (US/EU)",cal!HK42,cal!H42))</f>
        <v>60.772153152502042</v>
      </c>
      <c r="I41" s="147">
        <f>IF($K$8&gt;=$K$9,"",cal!I42)</f>
        <v>26</v>
      </c>
      <c r="J41" s="150">
        <f>IF($K$8&gt;=$K$9,"",cal!J42)</f>
        <v>1.144107112666796E-2</v>
      </c>
      <c r="K41" s="527">
        <f>cal!K42</f>
        <v>0</v>
      </c>
      <c r="L41" s="271">
        <f>cal!L42</f>
        <v>0</v>
      </c>
      <c r="M41" s="151">
        <f>cal!M42</f>
        <v>0</v>
      </c>
      <c r="N41" s="149">
        <f>cal!N42</f>
        <v>0</v>
      </c>
      <c r="O41" s="271">
        <f>cal!O42</f>
        <v>0</v>
      </c>
      <c r="P41" s="320" t="e">
        <f>IF($E$8&lt;=$E$9,"",cal!P42)</f>
        <v>#DIV/0!</v>
      </c>
      <c r="Q41" s="152" t="e">
        <f>IF($K$8&gt;=$K$9,"",cal!R42)</f>
        <v>#DIV/0!</v>
      </c>
      <c r="R41" s="152" t="e">
        <f>IF($K$8&gt;=$K$9,"",cal!S42)</f>
        <v>#DIV/0!</v>
      </c>
      <c r="S41" s="272" t="e">
        <f>IF($K$8&gt;=$K$9,"",cal!T42)</f>
        <v>#DIV/0!</v>
      </c>
      <c r="T41" s="410">
        <f>IF($K$8&gt;=$K$9,"",cal!U42)</f>
        <v>0</v>
      </c>
      <c r="U41" s="476" t="e">
        <f>IF($K$8&gt;=$K$9,"",cal!V42)</f>
        <v>#DIV/0!</v>
      </c>
      <c r="V41" s="405"/>
    </row>
    <row r="42" spans="2:22" ht="15" customHeight="1" x14ac:dyDescent="0.25">
      <c r="B42" s="195">
        <f>cal!B43</f>
        <v>0.6</v>
      </c>
      <c r="C42" s="30">
        <f>cal!C43</f>
        <v>6</v>
      </c>
      <c r="D42" s="146">
        <f>IF($E$8&lt;=$E$9,"",cal!D43)</f>
        <v>9594.9885862671326</v>
      </c>
      <c r="E42" s="147">
        <f>IF($E$8&lt;=$E$9,"",cal!E43)</f>
        <v>825</v>
      </c>
      <c r="F42" s="148">
        <f>IF($E$8&lt;=$E$9,"",cal!F43)</f>
        <v>6.8429733559153245</v>
      </c>
      <c r="G42" s="149">
        <f>IF($K$8&gt;=$K$9,"",cal!G43)</f>
        <v>1812.3138199647178</v>
      </c>
      <c r="H42" s="149">
        <f>IF($K$8&gt;=$K$9,"",IF($M$4="High Perform. 208/230V (US/EU)",cal!HK43,cal!H43))</f>
        <v>1812.3138199647178</v>
      </c>
      <c r="I42" s="147">
        <f>IF($K$8&gt;=$K$9,"",cal!I43)</f>
        <v>779</v>
      </c>
      <c r="J42" s="150">
        <f>IF($K$8&gt;=$K$9,"",cal!J43)</f>
        <v>6.1541104645299489</v>
      </c>
      <c r="K42" s="527">
        <f>cal!K43</f>
        <v>43</v>
      </c>
      <c r="L42" s="271">
        <f>cal!L43</f>
        <v>51</v>
      </c>
      <c r="M42" s="151">
        <f>cal!M43</f>
        <v>35.660962410040661</v>
      </c>
      <c r="N42" s="149">
        <f>cal!N43</f>
        <v>839.85254799999996</v>
      </c>
      <c r="O42" s="271">
        <f>cal!O43</f>
        <v>0.84833590707070694</v>
      </c>
      <c r="P42" s="320">
        <f>IF($E$8&lt;=$E$9,"",cal!P43)</f>
        <v>53.534914735489998</v>
      </c>
      <c r="Q42" s="152">
        <f>IF($K$8&gt;=$K$9,"",cal!R43)</f>
        <v>20.586303703876375</v>
      </c>
      <c r="R42" s="152">
        <f>IF($K$8&gt;=$K$9,"",cal!S43)</f>
        <v>17.340181998411264</v>
      </c>
      <c r="S42" s="272">
        <f>IF($K$8&gt;=$K$9,"",cal!T43)</f>
        <v>0.73488134455760457</v>
      </c>
      <c r="T42" s="410">
        <f>IF($K$8&gt;=$K$9,"",cal!U43)</f>
        <v>827.92955787507583</v>
      </c>
      <c r="U42" s="476">
        <f>IF($K$8&gt;=$K$9,"",cal!V43)</f>
        <v>0.15285952871354078</v>
      </c>
      <c r="V42" s="405"/>
    </row>
    <row r="43" spans="2:22" ht="0.2" customHeight="1" x14ac:dyDescent="0.25">
      <c r="B43" s="195">
        <f>cal!B44</f>
        <v>0.7</v>
      </c>
      <c r="C43" s="30">
        <f>cal!C44</f>
        <v>7</v>
      </c>
      <c r="D43" s="146">
        <f>IF($E$8&lt;=$E$9,"",cal!D44)</f>
        <v>150.1817637989142</v>
      </c>
      <c r="E43" s="147">
        <f>IF($E$8&lt;=$E$9,"",cal!E44)</f>
        <v>13</v>
      </c>
      <c r="F43" s="148">
        <f>IF($E$8&lt;=$E$9,"",cal!F44)</f>
        <v>3.1750740080079519E-3</v>
      </c>
      <c r="G43" s="149">
        <f>IF($K$8&gt;=$K$9,"",cal!G44)</f>
        <v>60.772153152502042</v>
      </c>
      <c r="H43" s="149">
        <f>IF($K$8&gt;=$K$9,"",IF($M$4="High Perform. 208/230V (US/EU)",cal!HK44,cal!H44))</f>
        <v>60.772153152502042</v>
      </c>
      <c r="I43" s="147">
        <f>IF($K$8&gt;=$K$9,"",cal!I44)</f>
        <v>26</v>
      </c>
      <c r="J43" s="150">
        <f>IF($K$8&gt;=$K$9,"",cal!J44)</f>
        <v>1.144107112666796E-2</v>
      </c>
      <c r="K43" s="527">
        <f>cal!K44</f>
        <v>0</v>
      </c>
      <c r="L43" s="271">
        <f>cal!L44</f>
        <v>0</v>
      </c>
      <c r="M43" s="151">
        <f>cal!M44</f>
        <v>0</v>
      </c>
      <c r="N43" s="149">
        <f>cal!N44</f>
        <v>0</v>
      </c>
      <c r="O43" s="271">
        <f>cal!O44</f>
        <v>0</v>
      </c>
      <c r="P43" s="320" t="e">
        <f>IF($E$8&lt;=$E$9,"",cal!P44)</f>
        <v>#DIV/0!</v>
      </c>
      <c r="Q43" s="152" t="e">
        <f>IF($K$8&gt;=$K$9,"",cal!R44)</f>
        <v>#DIV/0!</v>
      </c>
      <c r="R43" s="152" t="e">
        <f>IF($K$8&gt;=$K$9,"",cal!S44)</f>
        <v>#DIV/0!</v>
      </c>
      <c r="S43" s="272" t="e">
        <f>IF($K$8&gt;=$K$9,"",cal!T44)</f>
        <v>#DIV/0!</v>
      </c>
      <c r="T43" s="410">
        <f>IF($K$8&gt;=$K$9,"",cal!U44)</f>
        <v>0</v>
      </c>
      <c r="U43" s="476" t="e">
        <f>IF($K$8&gt;=$K$9,"",cal!V44)</f>
        <v>#DIV/0!</v>
      </c>
      <c r="V43" s="405"/>
    </row>
    <row r="44" spans="2:22" ht="15" customHeight="1" x14ac:dyDescent="0.25">
      <c r="B44" s="195">
        <f>cal!B45</f>
        <v>0.8</v>
      </c>
      <c r="C44" s="30">
        <f>cal!C45</f>
        <v>8</v>
      </c>
      <c r="D44" s="146">
        <f>IF($E$8&lt;=$E$9,"",cal!D45)</f>
        <v>11633.709333979707</v>
      </c>
      <c r="E44" s="147">
        <f>IF($E$8&lt;=$E$9,"",cal!E45)</f>
        <v>1000</v>
      </c>
      <c r="F44" s="148">
        <f>IF($E$8&lt;=$E$9,"",cal!F45)</f>
        <v>9.7667838123641371</v>
      </c>
      <c r="G44" s="149">
        <f>IF($K$8&gt;=$K$9,"",cal!G45)</f>
        <v>2251.0150320970106</v>
      </c>
      <c r="H44" s="149">
        <f>IF($K$8&gt;=$K$9,"",IF($M$4="High Perform. 208/230V (US/EU)",cal!HK45,cal!H45))</f>
        <v>2251.0150320970106</v>
      </c>
      <c r="I44" s="147">
        <f>IF($K$8&gt;=$K$9,"",cal!I45)</f>
        <v>968</v>
      </c>
      <c r="J44" s="150">
        <f>IF($K$8&gt;=$K$9,"",cal!J45)</f>
        <v>9.1966577675101533</v>
      </c>
      <c r="K44" s="527">
        <f>cal!K45</f>
        <v>49</v>
      </c>
      <c r="L44" s="271">
        <f>cal!L45</f>
        <v>57</v>
      </c>
      <c r="M44" s="151">
        <f>cal!M45</f>
        <v>62.847337908541164</v>
      </c>
      <c r="N44" s="149">
        <f>cal!N45</f>
        <v>1071.6468</v>
      </c>
      <c r="O44" s="271">
        <f>cal!O45</f>
        <v>1.0824715151515152</v>
      </c>
      <c r="P44" s="320">
        <f>IF($E$8&lt;=$E$9,"",cal!P45)</f>
        <v>51.86561652728416</v>
      </c>
      <c r="Q44" s="152">
        <f>IF($K$8&gt;=$K$9,"",cal!R45)</f>
        <v>20.756835807330418</v>
      </c>
      <c r="R44" s="152">
        <f>IF($K$8&gt;=$K$9,"",cal!S45)</f>
        <v>17.397403195646138</v>
      </c>
      <c r="S44" s="272">
        <f>IF($K$8&gt;=$K$9,"",cal!T45)</f>
        <v>0.72721514137195786</v>
      </c>
      <c r="T44" s="410">
        <f>IF($K$8&gt;=$K$9,"",cal!U45)</f>
        <v>989.66612103841953</v>
      </c>
      <c r="U44" s="476">
        <f>IF($K$8&gt;=$K$9,"",cal!V45)</f>
        <v>0.21112405362545589</v>
      </c>
      <c r="V44" s="405"/>
    </row>
    <row r="45" spans="2:22" ht="15" customHeight="1" x14ac:dyDescent="0.25">
      <c r="B45" s="195">
        <f>cal!B46</f>
        <v>1</v>
      </c>
      <c r="C45" s="30">
        <f>cal!C46</f>
        <v>10</v>
      </c>
      <c r="D45" s="146">
        <f>IF($E$8&lt;=$E$9,"",cal!D46)</f>
        <v>12855.596219027644</v>
      </c>
      <c r="E45" s="147">
        <f>IF($E$8&lt;=$E$9,"",cal!E46)</f>
        <v>1105</v>
      </c>
      <c r="F45" s="148">
        <f>IF($E$8&lt;=$E$9,"",cal!F46)</f>
        <v>11.747461684507567</v>
      </c>
      <c r="G45" s="149">
        <f>IF($K$8&gt;=$K$9,"",cal!G46)</f>
        <v>2532.5570501771672</v>
      </c>
      <c r="H45" s="149">
        <f>IF($K$8&gt;=$K$9,"",cal!H46)</f>
        <v>2532.5570501771672</v>
      </c>
      <c r="I45" s="147">
        <f>IF($K$8&gt;=$K$9,"",cal!I46)</f>
        <v>1089</v>
      </c>
      <c r="J45" s="150">
        <f>IF($K$8&gt;=$K$9,"",cal!J46)</f>
        <v>11.434823207772123</v>
      </c>
      <c r="K45" s="527">
        <f>cal!K46</f>
        <v>52.5</v>
      </c>
      <c r="L45" s="271">
        <f>cal!L46</f>
        <v>60.5</v>
      </c>
      <c r="M45" s="151">
        <f>cal!M46</f>
        <v>88.469646525776355</v>
      </c>
      <c r="N45" s="149">
        <f>cal!N46</f>
        <v>1226.07638</v>
      </c>
      <c r="O45" s="271">
        <f>cal!O46</f>
        <v>1.2384609898989898</v>
      </c>
      <c r="P45" s="320">
        <f>IF($E$8&lt;=$E$9,"",cal!P46)</f>
        <v>50.777297704013513</v>
      </c>
      <c r="Q45" s="152">
        <f>IF($K$8&gt;=$K$9,"",cal!R46)</f>
        <v>20.860687438241602</v>
      </c>
      <c r="R45" s="152">
        <f>IF($K$8&gt;=$K$9,"",cal!S46)</f>
        <v>17.432192477371743</v>
      </c>
      <c r="S45" s="272">
        <f>IF($K$8&gt;=$K$9,"",cal!T46)</f>
        <v>0.72259066367352387</v>
      </c>
      <c r="T45" s="411">
        <f>IF($K$8&gt;=$K$9,"",cal!U46)</f>
        <v>1089.5664374920361</v>
      </c>
      <c r="U45" s="476">
        <f>IF($K$8&gt;=$K$9,"",cal!V46)</f>
        <v>0.25976418165138693</v>
      </c>
      <c r="V45" s="405"/>
    </row>
    <row r="46" spans="2:22" ht="17.100000000000001" customHeight="1" x14ac:dyDescent="0.25">
      <c r="B46" s="571" t="str">
        <f>cal!B47</f>
        <v>Briza 22 (230V) height 54,5 cm, width 22 cm, length 155 cm (Type 08)</v>
      </c>
      <c r="C46" s="572"/>
      <c r="D46" s="573"/>
      <c r="E46" s="573"/>
      <c r="F46" s="573"/>
      <c r="G46" s="573"/>
      <c r="H46" s="573"/>
      <c r="I46" s="573"/>
      <c r="J46" s="573"/>
      <c r="K46" s="573"/>
      <c r="L46" s="573"/>
      <c r="M46" s="573"/>
      <c r="N46" s="574"/>
      <c r="O46" s="574"/>
      <c r="P46" s="574"/>
      <c r="Q46" s="574"/>
      <c r="R46" s="574"/>
      <c r="S46" s="574"/>
      <c r="T46" s="574"/>
      <c r="U46" s="575"/>
      <c r="V46" s="405"/>
    </row>
    <row r="47" spans="2:22" ht="15" customHeight="1" x14ac:dyDescent="0.25">
      <c r="B47" s="195">
        <f>cal!B48</f>
        <v>0.2</v>
      </c>
      <c r="C47" s="30">
        <f>cal!C48</f>
        <v>2</v>
      </c>
      <c r="D47" s="146">
        <f>IF($E$8&lt;=$E$9,cal!$AC$6,cal!D48)</f>
        <v>4329.2663192781019</v>
      </c>
      <c r="E47" s="147">
        <f>IF($E$8&lt;=$E$9,"",cal!E48)</f>
        <v>372</v>
      </c>
      <c r="F47" s="148">
        <f>IF($E$8&lt;=$E$9,"",cal!F48)</f>
        <v>1.2702460699469025</v>
      </c>
      <c r="G47" s="149">
        <f>IF($K$8&gt;=$K$9,cal!$AC$6,cal!G48)</f>
        <v>851.08654939233088</v>
      </c>
      <c r="H47" s="149">
        <f>IF($K$8&gt;=$K$9,"",cal!H48)</f>
        <v>851.08654939233088</v>
      </c>
      <c r="I47" s="147">
        <f>IF($K$8&gt;=$K$9,"",cal!I48)</f>
        <v>366</v>
      </c>
      <c r="J47" s="150">
        <f>IF($K$8&gt;=$K$9,"",cal!J48)</f>
        <v>1.2249426971189705</v>
      </c>
      <c r="K47" s="527">
        <f>cal!K48</f>
        <v>25</v>
      </c>
      <c r="L47" s="271">
        <f>cal!L48</f>
        <v>33</v>
      </c>
      <c r="M47" s="151">
        <f>cal!M48</f>
        <v>7.2498678160567307</v>
      </c>
      <c r="N47" s="149">
        <f>cal!N48</f>
        <v>392.20186899999999</v>
      </c>
      <c r="O47" s="271">
        <f>cal!O48</f>
        <v>0.31948669680677744</v>
      </c>
      <c r="P47" s="320">
        <f>IF($E$8&lt;=$E$9,"",cal!P48)</f>
        <v>52.401150538841463</v>
      </c>
      <c r="Q47" s="152">
        <f>IF($K$8&gt;=$K$9,"",cal!R48)</f>
        <v>20.55026158425467</v>
      </c>
      <c r="R47" s="152">
        <f>IF($K$8&gt;=$K$9,"",cal!S48)</f>
        <v>17.328073153165487</v>
      </c>
      <c r="S47" s="272">
        <f>IF($K$8&gt;=$K$9,"",cal!T48)</f>
        <v>0.73651322625381777</v>
      </c>
      <c r="T47" s="409">
        <f>IF($K$8&gt;=$K$9,"",cal!U48)</f>
        <v>430.86127160897252</v>
      </c>
      <c r="U47" s="476">
        <f>IF($K$8&gt;=$K$9,"",cal!V48)</f>
        <v>6.6546149319355319E-2</v>
      </c>
      <c r="V47" s="405"/>
    </row>
    <row r="48" spans="2:22" ht="15" customHeight="1" x14ac:dyDescent="0.25">
      <c r="B48" s="195">
        <f>cal!B49</f>
        <v>0.4</v>
      </c>
      <c r="C48" s="30">
        <f>cal!C49</f>
        <v>4</v>
      </c>
      <c r="D48" s="146">
        <f>IF($E$8&lt;=$E$9,cal!$AC$7,cal!D49)</f>
        <v>7707.3785069523192</v>
      </c>
      <c r="E48" s="147">
        <f>IF($E$8&lt;=$E$9,"",cal!E49)</f>
        <v>663</v>
      </c>
      <c r="F48" s="148">
        <f>IF($E$8&lt;=$E$9,"",cal!F49)</f>
        <v>4.6175392075661943</v>
      </c>
      <c r="G48" s="149">
        <f>IF($K$8&gt;=$K$9,cal!$AC$8,cal!G49)</f>
        <v>1532.5657350229121</v>
      </c>
      <c r="H48" s="149">
        <f>IF($K$8&gt;=$K$9,"",cal!H49)</f>
        <v>1532.5657350229121</v>
      </c>
      <c r="I48" s="147">
        <f>IF($K$8&gt;=$K$9,"",cal!I49)</f>
        <v>659</v>
      </c>
      <c r="J48" s="150">
        <f>IF($K$8&gt;=$K$9,"",cal!J49)</f>
        <v>4.5555509663628619</v>
      </c>
      <c r="K48" s="527">
        <f>cal!K49</f>
        <v>34</v>
      </c>
      <c r="L48" s="271">
        <f>cal!L49</f>
        <v>42</v>
      </c>
      <c r="M48" s="151">
        <f>cal!M49</f>
        <v>17.835695984517578</v>
      </c>
      <c r="N48" s="149">
        <f>cal!N49</f>
        <v>706.45038299999999</v>
      </c>
      <c r="O48" s="271">
        <f>cal!O49</f>
        <v>0.57547277859237533</v>
      </c>
      <c r="P48" s="320">
        <f>IF($E$8&lt;=$E$9,"",cal!P49)</f>
        <v>52.024385925487387</v>
      </c>
      <c r="Q48" s="152">
        <f>IF($K$8&gt;=$K$9,"",cal!R49)</f>
        <v>20.552141775749657</v>
      </c>
      <c r="R48" s="152">
        <f>IF($K$8&gt;=$K$9,"",cal!S49)</f>
        <v>17.328704959738953</v>
      </c>
      <c r="S48" s="272">
        <f>IF($K$8&gt;=$K$9,"",cal!T49)</f>
        <v>0.73642799589407182</v>
      </c>
      <c r="T48" s="410">
        <f>IF($K$8&gt;=$K$9,"",cal!U49)</f>
        <v>641.5232398664856</v>
      </c>
      <c r="U48" s="476">
        <f>IF($K$8&gt;=$K$9,"",cal!V49)</f>
        <v>9.0888910374139167E-2</v>
      </c>
      <c r="V48" s="405"/>
    </row>
    <row r="49" spans="2:22" ht="0.2" customHeight="1" x14ac:dyDescent="0.25">
      <c r="B49" s="195">
        <f>cal!B50</f>
        <v>0.5</v>
      </c>
      <c r="C49" s="30">
        <f>cal!C50</f>
        <v>5</v>
      </c>
      <c r="D49" s="146">
        <f>IF($E$8&lt;=$E$9,"",cal!D50)</f>
        <v>-78.284869029331787</v>
      </c>
      <c r="E49" s="147">
        <f>IF($E$8&lt;=$E$9,"",cal!E50)</f>
        <v>-7</v>
      </c>
      <c r="F49" s="148" t="e">
        <f>IF($E$8&lt;=$E$9,"",cal!F50)</f>
        <v>#NUM!</v>
      </c>
      <c r="G49" s="149">
        <f>IF($K$8&gt;=$K$9,"",cal!G50)</f>
        <v>-32.841902222421133</v>
      </c>
      <c r="H49" s="149">
        <f>IF($K$8&gt;=$K$9,"",IF($M$4="High Perform. 208/230V (US/EU)",cal!HK50,cal!H50))</f>
        <v>-32.841902222421133</v>
      </c>
      <c r="I49" s="147">
        <f>IF($K$8&gt;=$K$9,"",cal!I50)</f>
        <v>-14</v>
      </c>
      <c r="J49" s="150" t="e">
        <f>IF($K$8&gt;=$K$9,"",cal!J50)</f>
        <v>#NUM!</v>
      </c>
      <c r="K49" s="527">
        <f>cal!K50</f>
        <v>0</v>
      </c>
      <c r="L49" s="271">
        <f>cal!L50</f>
        <v>0</v>
      </c>
      <c r="M49" s="151">
        <f>cal!M50</f>
        <v>0</v>
      </c>
      <c r="N49" s="149">
        <f>cal!N50</f>
        <v>0</v>
      </c>
      <c r="O49" s="271">
        <f>cal!O50</f>
        <v>0</v>
      </c>
      <c r="P49" s="320" t="e">
        <f>IF($E$8&lt;=$E$9,"",cal!P50)</f>
        <v>#DIV/0!</v>
      </c>
      <c r="Q49" s="152" t="e">
        <f>IF($K$8&gt;=$K$9,"",cal!R50)</f>
        <v>#DIV/0!</v>
      </c>
      <c r="R49" s="152" t="e">
        <f>IF($K$8&gt;=$K$9,"",cal!S50)</f>
        <v>#DIV/0!</v>
      </c>
      <c r="S49" s="272" t="e">
        <f>IF($K$8&gt;=$K$9,"",cal!T50)</f>
        <v>#DIV/0!</v>
      </c>
      <c r="T49" s="410">
        <f>IF($K$8&gt;=$K$9,"",cal!U50)</f>
        <v>0</v>
      </c>
      <c r="U49" s="476" t="e">
        <f>IF($K$8&gt;=$K$9,"",cal!V50)</f>
        <v>#DIV/0!</v>
      </c>
      <c r="V49" s="405"/>
    </row>
    <row r="50" spans="2:22" ht="15" customHeight="1" x14ac:dyDescent="0.25">
      <c r="B50" s="195">
        <f>cal!B51</f>
        <v>0.6</v>
      </c>
      <c r="C50" s="30">
        <f>cal!C51</f>
        <v>6</v>
      </c>
      <c r="D50" s="146">
        <f>IF($E$8&lt;=$E$9,"",cal!D51)</f>
        <v>10638.371355643016</v>
      </c>
      <c r="E50" s="147">
        <f>IF($E$8&lt;=$E$9,"",cal!E51)</f>
        <v>915</v>
      </c>
      <c r="F50" s="148">
        <f>IF($E$8&lt;=$E$9,"",cal!F51)</f>
        <v>9.4816287579808023</v>
      </c>
      <c r="G50" s="149">
        <f>IF($K$8&gt;=$K$9,"",cal!G51)</f>
        <v>2127.0413856362497</v>
      </c>
      <c r="H50" s="149">
        <f>IF($K$8&gt;=$K$9,"",IF($M$4="High Perform. 208/230V (US/EU)",cal!HK51,cal!H51))</f>
        <v>2127.0413856362497</v>
      </c>
      <c r="I50" s="147">
        <f>IF($K$8&gt;=$K$9,"",cal!I51)</f>
        <v>914</v>
      </c>
      <c r="J50" s="150">
        <f>IF($K$8&gt;=$K$9,"",cal!J51)</f>
        <v>9.4585006841217432</v>
      </c>
      <c r="K50" s="527">
        <f>cal!K51</f>
        <v>41</v>
      </c>
      <c r="L50" s="271">
        <f>cal!L51</f>
        <v>49</v>
      </c>
      <c r="M50" s="151">
        <f>cal!M51</f>
        <v>37.073992288499525</v>
      </c>
      <c r="N50" s="149">
        <f>cal!N51</f>
        <v>990.00154199999997</v>
      </c>
      <c r="O50" s="271">
        <f>cal!O51</f>
        <v>0.80645286901270763</v>
      </c>
      <c r="P50" s="320">
        <f>IF($E$8&lt;=$E$9,"",cal!P51)</f>
        <v>51.542423857001864</v>
      </c>
      <c r="Q50" s="152">
        <f>IF($K$8&gt;=$K$9,"",cal!R51)</f>
        <v>20.614158982639005</v>
      </c>
      <c r="R50" s="152">
        <f>IF($K$8&gt;=$K$9,"",cal!S51)</f>
        <v>17.349536750059411</v>
      </c>
      <c r="S50" s="272">
        <f>IF($K$8&gt;=$K$9,"",cal!T51)</f>
        <v>0.73362292762977366</v>
      </c>
      <c r="T50" s="410">
        <f>IF($K$8&gt;=$K$9,"",cal!U51)</f>
        <v>835.34840467560571</v>
      </c>
      <c r="U50" s="476">
        <f>IF($K$8&gt;=$K$9,"",cal!V51)</f>
        <v>0.13481430742922851</v>
      </c>
      <c r="V50" s="405"/>
    </row>
    <row r="51" spans="2:22" ht="0.2" customHeight="1" x14ac:dyDescent="0.25">
      <c r="B51" s="195">
        <f>cal!B52</f>
        <v>0.7</v>
      </c>
      <c r="C51" s="30">
        <f>cal!C52</f>
        <v>7</v>
      </c>
      <c r="D51" s="146">
        <f>IF($E$8&lt;=$E$9,"",cal!D52)</f>
        <v>-78.284869029331787</v>
      </c>
      <c r="E51" s="147">
        <f>IF($E$8&lt;=$E$9,"",cal!E52)</f>
        <v>-7</v>
      </c>
      <c r="F51" s="148" t="e">
        <f>IF($E$8&lt;=$E$9,"",cal!F52)</f>
        <v>#NUM!</v>
      </c>
      <c r="G51" s="149">
        <f>IF($K$8&gt;=$K$9,"",cal!G52)</f>
        <v>-32.841902222421133</v>
      </c>
      <c r="H51" s="149">
        <f>IF($K$8&gt;=$K$9,"",IF($M$4="High Perform. 208/230V (US/EU)",cal!HK52,cal!H52))</f>
        <v>-32.841902222421133</v>
      </c>
      <c r="I51" s="147">
        <f>IF($K$8&gt;=$K$9,"",cal!I52)</f>
        <v>-14</v>
      </c>
      <c r="J51" s="150" t="e">
        <f>IF($K$8&gt;=$K$9,"",cal!J52)</f>
        <v>#NUM!</v>
      </c>
      <c r="K51" s="527">
        <f>cal!K52</f>
        <v>0</v>
      </c>
      <c r="L51" s="271">
        <f>cal!L52</f>
        <v>0</v>
      </c>
      <c r="M51" s="151">
        <f>cal!M52</f>
        <v>0</v>
      </c>
      <c r="N51" s="149">
        <f>cal!N52</f>
        <v>0</v>
      </c>
      <c r="O51" s="271">
        <f>cal!O52</f>
        <v>0</v>
      </c>
      <c r="P51" s="320" t="e">
        <f>IF($E$8&lt;=$E$9,"",cal!P52)</f>
        <v>#DIV/0!</v>
      </c>
      <c r="Q51" s="152" t="e">
        <f>IF($K$8&gt;=$K$9,"",cal!R52)</f>
        <v>#DIV/0!</v>
      </c>
      <c r="R51" s="152" t="e">
        <f>IF($K$8&gt;=$K$9,"",cal!S52)</f>
        <v>#DIV/0!</v>
      </c>
      <c r="S51" s="272" t="e">
        <f>IF($K$8&gt;=$K$9,"",cal!T52)</f>
        <v>#DIV/0!</v>
      </c>
      <c r="T51" s="410">
        <f>IF($K$8&gt;=$K$9,"",cal!U52)</f>
        <v>0</v>
      </c>
      <c r="U51" s="476" t="e">
        <f>IF($K$8&gt;=$K$9,"",cal!V52)</f>
        <v>#DIV/0!</v>
      </c>
      <c r="V51" s="405"/>
    </row>
    <row r="52" spans="2:22" ht="15" customHeight="1" x14ac:dyDescent="0.25">
      <c r="B52" s="195">
        <f>cal!B53</f>
        <v>0.8</v>
      </c>
      <c r="C52" s="30">
        <f>cal!C53</f>
        <v>8</v>
      </c>
      <c r="D52" s="146">
        <f>IF($E$8&lt;=$E$9,"",cal!D53)</f>
        <v>13249.920177568205</v>
      </c>
      <c r="E52" s="147">
        <f>IF($E$8&lt;=$E$9,"",cal!E53)</f>
        <v>1139</v>
      </c>
      <c r="F52" s="148">
        <f>IF($E$8&lt;=$E$9,"",cal!F53)</f>
        <v>15.462761700679485</v>
      </c>
      <c r="G52" s="149">
        <f>IF($K$8&gt;=$K$9,"",cal!G53)</f>
        <v>2659.5317739984412</v>
      </c>
      <c r="H52" s="149">
        <f>IF($K$8&gt;=$K$9,"",IF($M$4="High Perform. 208/230V (US/EU)",cal!HK53,cal!H53))</f>
        <v>2659.5317739984412</v>
      </c>
      <c r="I52" s="147">
        <f>IF($K$8&gt;=$K$9,"",cal!I53)</f>
        <v>1143</v>
      </c>
      <c r="J52" s="150">
        <f>IF($K$8&gt;=$K$9,"",cal!J53)</f>
        <v>15.584305711329021</v>
      </c>
      <c r="K52" s="527">
        <f>cal!K53</f>
        <v>47</v>
      </c>
      <c r="L52" s="271">
        <f>cal!L53</f>
        <v>55</v>
      </c>
      <c r="M52" s="151">
        <f>cal!M53</f>
        <v>65.78114400748828</v>
      </c>
      <c r="N52" s="149">
        <f>cal!N53</f>
        <v>1252.2154499999999</v>
      </c>
      <c r="O52" s="271">
        <f>cal!O53</f>
        <v>1.0200516862170086</v>
      </c>
      <c r="P52" s="320">
        <f>IF($E$8&lt;=$E$9,"",cal!P53)</f>
        <v>51.059180469714676</v>
      </c>
      <c r="Q52" s="152">
        <f>IF($K$8&gt;=$K$9,"",cal!R53)</f>
        <v>20.687459775071233</v>
      </c>
      <c r="R52" s="152">
        <f>IF($K$8&gt;=$K$9,"",cal!S53)</f>
        <v>17.374138623148855</v>
      </c>
      <c r="S52" s="272">
        <f>IF($K$8&gt;=$K$9,"",cal!T53)</f>
        <v>0.7303229967103656</v>
      </c>
      <c r="T52" s="410">
        <f>IF($K$8&gt;=$K$9,"",cal!U53)</f>
        <v>998.5100266806237</v>
      </c>
      <c r="U52" s="476">
        <f>IF($K$8&gt;=$K$9,"",cal!V53)</f>
        <v>0.18911451573845206</v>
      </c>
      <c r="V52" s="405"/>
    </row>
    <row r="53" spans="2:22" ht="15" customHeight="1" x14ac:dyDescent="0.25">
      <c r="B53" s="195">
        <f>cal!B54</f>
        <v>1</v>
      </c>
      <c r="C53" s="30">
        <f>cal!C54</f>
        <v>10</v>
      </c>
      <c r="D53" s="146">
        <f>IF($E$8&lt;=$E$9,"",cal!D54)</f>
        <v>15024.990994875396</v>
      </c>
      <c r="E53" s="147">
        <f>IF($E$8&lt;=$E$9,"",cal!E54)</f>
        <v>1292</v>
      </c>
      <c r="F53" s="148">
        <f>IF($E$8&lt;=$E$9,"",cal!F54)</f>
        <v>20.489991128830852</v>
      </c>
      <c r="G53" s="149">
        <f>IF($K$8&gt;=$K$9,"",cal!G54)</f>
        <v>3023.1352867120613</v>
      </c>
      <c r="H53" s="149">
        <f>IF($K$8&gt;=$K$9,"",cal!H54)</f>
        <v>3023.1352867120613</v>
      </c>
      <c r="I53" s="147">
        <f>IF($K$8&gt;=$K$9,"",cal!I54)</f>
        <v>1300</v>
      </c>
      <c r="J53" s="150">
        <f>IF($K$8&gt;=$K$9,"",cal!J54)</f>
        <v>20.774434419645953</v>
      </c>
      <c r="K53" s="527">
        <f>cal!K54</f>
        <v>51</v>
      </c>
      <c r="L53" s="271">
        <f>cal!L54</f>
        <v>59</v>
      </c>
      <c r="M53" s="151">
        <f>cal!M54</f>
        <v>95.03387554408134</v>
      </c>
      <c r="N53" s="149">
        <f>cal!N54</f>
        <v>1436.13516</v>
      </c>
      <c r="O53" s="271">
        <f>cal!O54</f>
        <v>1.169872238514174</v>
      </c>
      <c r="P53" s="320">
        <f>IF($E$8&lt;=$E$9,"",cal!P54)</f>
        <v>50.709637756320284</v>
      </c>
      <c r="Q53" s="152">
        <f>IF($K$8&gt;=$K$9,"",cal!R54)</f>
        <v>20.743372478217854</v>
      </c>
      <c r="R53" s="152">
        <f>IF($K$8&gt;=$K$9,"",cal!S54)</f>
        <v>17.392889922423276</v>
      </c>
      <c r="S53" s="272">
        <f>IF($K$8&gt;=$K$9,"",cal!T54)</f>
        <v>0.72781709516274096</v>
      </c>
      <c r="T53" s="411">
        <f>IF($K$8&gt;=$K$9,"",cal!U54)</f>
        <v>1126.110007110515</v>
      </c>
      <c r="U53" s="476">
        <f>IF($K$8&gt;=$K$9,"",cal!V54)</f>
        <v>0.23822406239165739</v>
      </c>
      <c r="V53" s="405"/>
    </row>
    <row r="54" spans="2:22" ht="17.100000000000001" customHeight="1" x14ac:dyDescent="0.25">
      <c r="B54" s="571" t="str">
        <f>cal!B55</f>
        <v>Briza 22 (230V) height 54,5 cm, width 22 cm, length 190 cm (Type 10)</v>
      </c>
      <c r="C54" s="572"/>
      <c r="D54" s="573"/>
      <c r="E54" s="573"/>
      <c r="F54" s="573"/>
      <c r="G54" s="573"/>
      <c r="H54" s="573"/>
      <c r="I54" s="573"/>
      <c r="J54" s="573"/>
      <c r="K54" s="573"/>
      <c r="L54" s="573"/>
      <c r="M54" s="573"/>
      <c r="N54" s="574"/>
      <c r="O54" s="574"/>
      <c r="P54" s="574"/>
      <c r="Q54" s="574"/>
      <c r="R54" s="574"/>
      <c r="S54" s="574"/>
      <c r="T54" s="574"/>
      <c r="U54" s="575"/>
      <c r="V54" s="405"/>
    </row>
    <row r="55" spans="2:22" ht="15" customHeight="1" x14ac:dyDescent="0.25">
      <c r="B55" s="195">
        <f>cal!B56</f>
        <v>0.2</v>
      </c>
      <c r="C55" s="30">
        <f>cal!C56</f>
        <v>2</v>
      </c>
      <c r="D55" s="146">
        <f>IF($E$8&lt;=$E$9,cal!$AC$6,cal!D56)</f>
        <v>7001.6513704057716</v>
      </c>
      <c r="E55" s="147">
        <f>IF($E$8&lt;=$E$9,"",cal!E56)</f>
        <v>602</v>
      </c>
      <c r="F55" s="148">
        <f>IF($E$8&lt;=$E$9,"",cal!F56)</f>
        <v>3.8851789025636574</v>
      </c>
      <c r="G55" s="149">
        <f>IF($K$8&gt;=$K$9,cal!$AC$6,cal!G56)</f>
        <v>1449.7076355441104</v>
      </c>
      <c r="H55" s="149">
        <f>IF($K$8&gt;=$K$9,"",cal!H56)</f>
        <v>1449.7076355441104</v>
      </c>
      <c r="I55" s="147">
        <f>IF($K$8&gt;=$K$9,"",cal!I56)</f>
        <v>623</v>
      </c>
      <c r="J55" s="150">
        <f>IF($K$8&gt;=$K$9,"",cal!J56)</f>
        <v>4.1355262122926231</v>
      </c>
      <c r="K55" s="527">
        <f>cal!K56</f>
        <v>31.5</v>
      </c>
      <c r="L55" s="271">
        <f>cal!L56</f>
        <v>39.5</v>
      </c>
      <c r="M55" s="151">
        <f>cal!M56</f>
        <v>11.09810395803566</v>
      </c>
      <c r="N55" s="149">
        <f>cal!N56</f>
        <v>548.888779</v>
      </c>
      <c r="O55" s="271">
        <f>cal!O56</f>
        <v>0.36475862506645401</v>
      </c>
      <c r="P55" s="320">
        <f>IF($E$8&lt;=$E$9,"",cal!P56)</f>
        <v>57.443110362034005</v>
      </c>
      <c r="Q55" s="152">
        <f>IF($K$8&gt;=$K$9,"",cal!R56)</f>
        <v>19.14991956153699</v>
      </c>
      <c r="R55" s="152">
        <f>IF($K$8&gt;=$K$9,"",cal!S56)</f>
        <v>16.853478410130663</v>
      </c>
      <c r="S55" s="272">
        <f>IF($K$8&gt;=$K$9,"",cal!T56)</f>
        <v>0.8031893880966785</v>
      </c>
      <c r="T55" s="409">
        <f>IF($K$8&gt;=$K$9,"",cal!U56)</f>
        <v>430.12291215507588</v>
      </c>
      <c r="U55" s="476">
        <f>IF($K$8&gt;=$K$9,"",cal!V56)</f>
        <v>7.2789198426897295E-2</v>
      </c>
      <c r="V55" s="405"/>
    </row>
    <row r="56" spans="2:22" ht="15" customHeight="1" x14ac:dyDescent="0.25">
      <c r="B56" s="195">
        <f>cal!B57</f>
        <v>0.4</v>
      </c>
      <c r="C56" s="30">
        <f>cal!C57</f>
        <v>4</v>
      </c>
      <c r="D56" s="146">
        <f>IF($E$8&lt;=$E$9,cal!$AC$7,cal!D57)</f>
        <v>12038.565742887798</v>
      </c>
      <c r="E56" s="147">
        <f>IF($E$8&lt;=$E$9,"",cal!E57)</f>
        <v>1035</v>
      </c>
      <c r="F56" s="148">
        <f>IF($E$8&lt;=$E$9,"",cal!F57)</f>
        <v>10.423354050605386</v>
      </c>
      <c r="G56" s="149">
        <f>IF($K$8&gt;=$K$9,cal!$AC$8,cal!G57)</f>
        <v>2486.1664735304334</v>
      </c>
      <c r="H56" s="149">
        <f>IF($K$8&gt;=$K$9,"",cal!H57)</f>
        <v>2486.1664735304334</v>
      </c>
      <c r="I56" s="147">
        <f>IF($K$8&gt;=$K$9,"",cal!I57)</f>
        <v>1069</v>
      </c>
      <c r="J56" s="150">
        <f>IF($K$8&gt;=$K$9,"",cal!J57)</f>
        <v>11.05532767842789</v>
      </c>
      <c r="K56" s="527">
        <f>cal!K57</f>
        <v>39</v>
      </c>
      <c r="L56" s="271">
        <f>cal!L57</f>
        <v>47</v>
      </c>
      <c r="M56" s="151">
        <f>cal!M57</f>
        <v>25.917165040408769</v>
      </c>
      <c r="N56" s="149">
        <f>cal!N57</f>
        <v>972.29046500000004</v>
      </c>
      <c r="O56" s="271">
        <f>cal!O57</f>
        <v>0.64612604000531637</v>
      </c>
      <c r="P56" s="320">
        <f>IF($E$8&lt;=$E$9,"",cal!P57)</f>
        <v>56.344149493340481</v>
      </c>
      <c r="Q56" s="152">
        <f>IF($K$8&gt;=$K$9,"",cal!R57)</f>
        <v>19.400024154861924</v>
      </c>
      <c r="R56" s="152">
        <f>IF($K$8&gt;=$K$9,"",cal!S57)</f>
        <v>16.938838704327367</v>
      </c>
      <c r="S56" s="272">
        <f>IF($K$8&gt;=$K$9,"",cal!T57)</f>
        <v>0.79079834502337942</v>
      </c>
      <c r="T56" s="410">
        <f>IF($K$8&gt;=$K$9,"",cal!U57)</f>
        <v>694.89238955705298</v>
      </c>
      <c r="U56" s="476">
        <f>IF($K$8&gt;=$K$9,"",cal!V57)</f>
        <v>9.5960823955495211E-2</v>
      </c>
      <c r="V56" s="405"/>
    </row>
    <row r="57" spans="2:22" ht="0.2" customHeight="1" x14ac:dyDescent="0.25">
      <c r="B57" s="195">
        <f>cal!B58</f>
        <v>0.5</v>
      </c>
      <c r="C57" s="30">
        <f>cal!C58</f>
        <v>5</v>
      </c>
      <c r="D57" s="146">
        <f>IF($E$8&lt;=$E$9,"",cal!D58)</f>
        <v>5.30344505500896</v>
      </c>
      <c r="E57" s="147">
        <f>IF($E$8&lt;=$E$9,"",cal!E58)</f>
        <v>0</v>
      </c>
      <c r="F57" s="148">
        <f>IF($E$8&lt;=$E$9,"",cal!F58)</f>
        <v>0</v>
      </c>
      <c r="G57" s="149">
        <f>IF($K$8&gt;=$K$9,"",cal!G58)</f>
        <v>-4.9094272368746896</v>
      </c>
      <c r="H57" s="149">
        <f>IF($K$8&gt;=$K$9,"",IF($M$4="High Perform. 208/230V (US/EU)",cal!HK58,cal!H58))</f>
        <v>-4.9094272368746896</v>
      </c>
      <c r="I57" s="147">
        <f>IF($K$8&gt;=$K$9,"",cal!I58)</f>
        <v>-2</v>
      </c>
      <c r="J57" s="150" t="e">
        <f>IF($K$8&gt;=$K$9,"",cal!J58)</f>
        <v>#NUM!</v>
      </c>
      <c r="K57" s="527">
        <f>cal!K58</f>
        <v>0</v>
      </c>
      <c r="L57" s="271">
        <f>cal!L58</f>
        <v>0</v>
      </c>
      <c r="M57" s="151">
        <f>cal!M58</f>
        <v>0</v>
      </c>
      <c r="N57" s="149">
        <f>cal!N58</f>
        <v>0</v>
      </c>
      <c r="O57" s="271">
        <f>cal!O58</f>
        <v>0</v>
      </c>
      <c r="P57" s="320" t="e">
        <f>IF($E$8&lt;=$E$9,"",cal!P58)</f>
        <v>#DIV/0!</v>
      </c>
      <c r="Q57" s="152" t="e">
        <f>IF($K$8&gt;=$K$9,"",cal!R58)</f>
        <v>#DIV/0!</v>
      </c>
      <c r="R57" s="152" t="e">
        <f>IF($K$8&gt;=$K$9,"",cal!S58)</f>
        <v>#DIV/0!</v>
      </c>
      <c r="S57" s="272" t="e">
        <f>IF($K$8&gt;=$K$9,"",cal!T58)</f>
        <v>#DIV/0!</v>
      </c>
      <c r="T57" s="410">
        <f>IF($K$8&gt;=$K$9,"",cal!U58)</f>
        <v>0</v>
      </c>
      <c r="U57" s="476" t="e">
        <f>IF($K$8&gt;=$K$9,"",cal!V58)</f>
        <v>#DIV/0!</v>
      </c>
      <c r="V57" s="405"/>
    </row>
    <row r="58" spans="2:22" ht="15" customHeight="1" x14ac:dyDescent="0.25">
      <c r="B58" s="195">
        <f>cal!B59</f>
        <v>0.6</v>
      </c>
      <c r="C58" s="30">
        <f>cal!C59</f>
        <v>6</v>
      </c>
      <c r="D58" s="146">
        <f>IF($E$8&lt;=$E$9,"",cal!D59)</f>
        <v>16232.951843727509</v>
      </c>
      <c r="E58" s="147">
        <f>IF($E$8&lt;=$E$9,"",cal!E59)</f>
        <v>1396</v>
      </c>
      <c r="F58" s="148">
        <f>IF($E$8&lt;=$E$9,"",cal!F59)</f>
        <v>17.974505497771883</v>
      </c>
      <c r="G58" s="149">
        <f>IF($K$8&gt;=$K$9,"",cal!G59)</f>
        <v>3340.8780522374841</v>
      </c>
      <c r="H58" s="149">
        <f>IF($K$8&gt;=$K$9,"",IF($M$4="High Perform. 208/230V (US/EU)",cal!HK59,cal!H59))</f>
        <v>3340.8780522374841</v>
      </c>
      <c r="I58" s="147">
        <f>IF($K$8&gt;=$K$9,"",cal!I59)</f>
        <v>1436</v>
      </c>
      <c r="J58" s="150">
        <f>IF($K$8&gt;=$K$9,"",cal!J59)</f>
        <v>18.923465812941441</v>
      </c>
      <c r="K58" s="527">
        <f>cal!K59</f>
        <v>46.5</v>
      </c>
      <c r="L58" s="271">
        <f>cal!L59</f>
        <v>54.5</v>
      </c>
      <c r="M58" s="151">
        <f>cal!M59</f>
        <v>52.786463652114598</v>
      </c>
      <c r="N58" s="149">
        <f>cal!N59</f>
        <v>1346.8343600000001</v>
      </c>
      <c r="O58" s="271">
        <f>cal!O59</f>
        <v>0.89502549175970236</v>
      </c>
      <c r="P58" s="320">
        <f>IF($E$8&lt;=$E$9,"",cal!P59)</f>
        <v>55.378474382176755</v>
      </c>
      <c r="Q58" s="152">
        <f>IF($K$8&gt;=$K$9,"",cal!R59)</f>
        <v>19.627335538213401</v>
      </c>
      <c r="R58" s="152">
        <f>IF($K$8&gt;=$K$9,"",cal!S59)</f>
        <v>17.016193007572845</v>
      </c>
      <c r="S58" s="272">
        <f>IF($K$8&gt;=$K$9,"",cal!T59)</f>
        <v>0.7797228975092394</v>
      </c>
      <c r="T58" s="410">
        <f>IF($K$8&gt;=$K$9,"",cal!U59)</f>
        <v>836.31696874153636</v>
      </c>
      <c r="U58" s="476">
        <f>IF($K$8&gt;=$K$9,"",cal!V59)</f>
        <v>0.14109475878504654</v>
      </c>
      <c r="V58" s="405"/>
    </row>
    <row r="59" spans="2:22" ht="0.2" customHeight="1" x14ac:dyDescent="0.25">
      <c r="B59" s="195">
        <f>cal!B60</f>
        <v>0.7</v>
      </c>
      <c r="C59" s="30">
        <f>cal!C60</f>
        <v>7</v>
      </c>
      <c r="D59" s="146">
        <f>IF($E$8&lt;=$E$9,"",cal!D60)</f>
        <v>5.30344505500896</v>
      </c>
      <c r="E59" s="147">
        <f>IF($E$8&lt;=$E$9,"",cal!E60)</f>
        <v>0</v>
      </c>
      <c r="F59" s="148">
        <f>IF($E$8&lt;=$E$9,"",cal!F60)</f>
        <v>0</v>
      </c>
      <c r="G59" s="149">
        <f>IF($K$8&gt;=$K$9,"",cal!G60)</f>
        <v>-4.9094272368746896</v>
      </c>
      <c r="H59" s="149">
        <f>IF($K$8&gt;=$K$9,"",IF($M$4="High Perform. 208/230V (US/EU)",cal!HK60,cal!H60))</f>
        <v>-4.9094272368746896</v>
      </c>
      <c r="I59" s="147">
        <f>IF($K$8&gt;=$K$9,"",cal!I60)</f>
        <v>-2</v>
      </c>
      <c r="J59" s="150" t="e">
        <f>IF($K$8&gt;=$K$9,"",cal!J60)</f>
        <v>#NUM!</v>
      </c>
      <c r="K59" s="527">
        <f>cal!K60</f>
        <v>0</v>
      </c>
      <c r="L59" s="271">
        <f>cal!L60</f>
        <v>0</v>
      </c>
      <c r="M59" s="151">
        <f>cal!M60</f>
        <v>0</v>
      </c>
      <c r="N59" s="149">
        <f>cal!N60</f>
        <v>0</v>
      </c>
      <c r="O59" s="271">
        <f>cal!O60</f>
        <v>0</v>
      </c>
      <c r="P59" s="320" t="e">
        <f>IF($E$8&lt;=$E$9,"",cal!P60)</f>
        <v>#DIV/0!</v>
      </c>
      <c r="Q59" s="152" t="e">
        <f>IF($K$8&gt;=$K$9,"",cal!R60)</f>
        <v>#DIV/0!</v>
      </c>
      <c r="R59" s="152" t="e">
        <f>IF($K$8&gt;=$K$9,"",cal!S60)</f>
        <v>#DIV/0!</v>
      </c>
      <c r="S59" s="272" t="e">
        <f>IF($K$8&gt;=$K$9,"",cal!T60)</f>
        <v>#DIV/0!</v>
      </c>
      <c r="T59" s="410">
        <f>IF($K$8&gt;=$K$9,"",cal!U60)</f>
        <v>0</v>
      </c>
      <c r="U59" s="476" t="e">
        <f>IF($K$8&gt;=$K$9,"",cal!V60)</f>
        <v>#DIV/0!</v>
      </c>
      <c r="V59" s="405"/>
    </row>
    <row r="60" spans="2:22" ht="15" customHeight="1" x14ac:dyDescent="0.25">
      <c r="B60" s="195">
        <f>cal!B61</f>
        <v>0.8</v>
      </c>
      <c r="C60" s="30">
        <f>cal!C61</f>
        <v>8</v>
      </c>
      <c r="D60" s="146">
        <f>IF($E$8&lt;=$E$9,"",cal!D61)</f>
        <v>19967.90567147687</v>
      </c>
      <c r="E60" s="147">
        <f>IF($E$8&lt;=$E$9,"",cal!E61)</f>
        <v>1717</v>
      </c>
      <c r="F60" s="148">
        <f>IF($E$8&lt;=$E$9,"",cal!F61)</f>
        <v>26.202986598368852</v>
      </c>
      <c r="G60" s="149">
        <f>IF($K$8&gt;=$K$9,"",cal!G61)</f>
        <v>4094.3007616661316</v>
      </c>
      <c r="H60" s="149">
        <f>IF($K$8&gt;=$K$9,"",IF($M$4="High Perform. 208/230V (US/EU)",cal!HK61,cal!H61))</f>
        <v>4094.3007616661316</v>
      </c>
      <c r="I60" s="147">
        <f>IF($K$8&gt;=$K$9,"",cal!I61)</f>
        <v>1760</v>
      </c>
      <c r="J60" s="150">
        <f>IF($K$8&gt;=$K$9,"",cal!J61)</f>
        <v>27.410330159722072</v>
      </c>
      <c r="K60" s="527">
        <f>cal!K61</f>
        <v>52</v>
      </c>
      <c r="L60" s="271">
        <f>cal!L61</f>
        <v>60</v>
      </c>
      <c r="M60" s="151">
        <f>cal!M61</f>
        <v>92.99122092657511</v>
      </c>
      <c r="N60" s="149">
        <f>cal!N61</f>
        <v>1700.4559300000001</v>
      </c>
      <c r="O60" s="271">
        <f>cal!O61</f>
        <v>1.1300212187666137</v>
      </c>
      <c r="P60" s="320">
        <f>IF($E$8&lt;=$E$9,"",cal!P61)</f>
        <v>54.468542807361551</v>
      </c>
      <c r="Q60" s="152">
        <f>IF($K$8&gt;=$K$9,"",cal!R61)</f>
        <v>19.843636461799832</v>
      </c>
      <c r="R60" s="152">
        <f>IF($K$8&gt;=$K$9,"",cal!S61)</f>
        <v>17.089601121923049</v>
      </c>
      <c r="S60" s="272">
        <f>IF($K$8&gt;=$K$9,"",cal!T61)</f>
        <v>0.76934576594853321</v>
      </c>
      <c r="T60" s="410">
        <f>IF($K$8&gt;=$K$9,"",cal!U61)</f>
        <v>963.95877402490055</v>
      </c>
      <c r="U60" s="476">
        <f>IF($K$8&gt;=$K$9,"",cal!V61)</f>
        <v>0.19686978617297679</v>
      </c>
      <c r="V60" s="405"/>
    </row>
    <row r="61" spans="2:22" ht="15" customHeight="1" x14ac:dyDescent="0.25">
      <c r="B61" s="196">
        <f>cal!B62</f>
        <v>1</v>
      </c>
      <c r="C61" s="173">
        <f>cal!C62</f>
        <v>10</v>
      </c>
      <c r="D61" s="200">
        <f>IF($E$8&lt;=$E$9,"",cal!D62)</f>
        <v>22199.735301168173</v>
      </c>
      <c r="E61" s="201">
        <f>IF($E$8&lt;=$E$9,"",cal!E62)</f>
        <v>1909</v>
      </c>
      <c r="F61" s="202">
        <f>IF($E$8&lt;=$E$9,"",cal!F62)</f>
        <v>31.782538971316821</v>
      </c>
      <c r="G61" s="203">
        <f>IF($K$8&gt;=$K$9,"",cal!G62)</f>
        <v>4540.4783942541608</v>
      </c>
      <c r="H61" s="203">
        <f>IF($K$8&gt;=$K$9,"",cal!H62)</f>
        <v>4540.4783942541608</v>
      </c>
      <c r="I61" s="201">
        <f>IF($K$8&gt;=$K$9,"",cal!I62)</f>
        <v>1952</v>
      </c>
      <c r="J61" s="204">
        <f>IF($K$8&gt;=$K$9,"",cal!J62)</f>
        <v>33.098337777647657</v>
      </c>
      <c r="K61" s="528">
        <f>cal!K62</f>
        <v>55</v>
      </c>
      <c r="L61" s="464">
        <f>cal!L62</f>
        <v>63</v>
      </c>
      <c r="M61" s="205">
        <f>cal!M62</f>
        <v>131.53201024753241</v>
      </c>
      <c r="N61" s="203">
        <f>cal!N62</f>
        <v>1922.33329</v>
      </c>
      <c r="O61" s="464">
        <f>cal!O62</f>
        <v>1.2774676302498671</v>
      </c>
      <c r="P61" s="321">
        <f>IF($E$8&lt;=$E$9,"",cal!P62)</f>
        <v>53.89806416407508</v>
      </c>
      <c r="Q61" s="206">
        <f>IF($K$8&gt;=$K$9,"",cal!R62)</f>
        <v>19.979776162870259</v>
      </c>
      <c r="R61" s="206">
        <f>IF($K$8&gt;=$K$9,"",cal!S62)</f>
        <v>17.135704956637436</v>
      </c>
      <c r="S61" s="273">
        <f>IF($K$8&gt;=$K$9,"",cal!T62)</f>
        <v>0.76289413732763722</v>
      </c>
      <c r="T61" s="411">
        <f>IF($K$8&gt;=$K$9,"",cal!U62)</f>
        <v>1100.4639023864406</v>
      </c>
      <c r="U61" s="477">
        <f>IF($K$8&gt;=$K$9,"",cal!V62)</f>
        <v>0.24632317369435802</v>
      </c>
      <c r="V61" s="405"/>
    </row>
    <row r="62" spans="2:22" ht="15" customHeight="1" x14ac:dyDescent="0.25">
      <c r="B62" s="280" t="str">
        <f>cal!B63</f>
        <v>*Values according to EN 1397 equipped with a G2 filter.</v>
      </c>
      <c r="C62" s="212"/>
      <c r="D62" s="212"/>
      <c r="E62" s="212"/>
      <c r="F62" s="212"/>
      <c r="G62" s="212"/>
      <c r="H62" s="212"/>
      <c r="I62" s="212"/>
      <c r="J62" s="212"/>
      <c r="K62" s="212"/>
      <c r="L62" s="212"/>
      <c r="M62" s="212"/>
      <c r="N62" s="212"/>
      <c r="O62" s="212"/>
      <c r="P62" s="212"/>
      <c r="Q62" s="511"/>
      <c r="R62" s="212"/>
      <c r="S62" s="212"/>
      <c r="T62" s="212"/>
      <c r="U62" s="511" t="s">
        <v>523</v>
      </c>
    </row>
    <row r="63" spans="2:22" ht="9.4" customHeight="1" x14ac:dyDescent="0.25">
      <c r="B63" s="40" t="str">
        <f>cal!B64</f>
        <v>**Sound power according to ISO 3741:2010</v>
      </c>
    </row>
    <row r="64" spans="2:22" ht="9.4" customHeight="1" x14ac:dyDescent="0.25">
      <c r="B64" s="40" t="str">
        <f>cal!B65</f>
        <v>***Sound pressure with an assumed room damping of 8dB(A)</v>
      </c>
    </row>
    <row r="65" spans="2:2" ht="9" customHeight="1" x14ac:dyDescent="0.25">
      <c r="B65" s="40" t="str">
        <f>cal!B66</f>
        <v>****Calculated RH directly after the heat exchanger, assumed with a location-independent surface temperature.</v>
      </c>
    </row>
    <row r="66" spans="2:2" ht="16.149999999999999" hidden="1" customHeight="1" x14ac:dyDescent="0.25"/>
    <row r="67" spans="2:2" ht="15" hidden="1" x14ac:dyDescent="0.25"/>
    <row r="68" spans="2:2" ht="15" hidden="1" x14ac:dyDescent="0.25"/>
    <row r="69" spans="2:2" ht="15" hidden="1" x14ac:dyDescent="0.25"/>
    <row r="70" spans="2:2" ht="15" hidden="1" x14ac:dyDescent="0.25"/>
    <row r="71" spans="2:2" ht="15" hidden="1" x14ac:dyDescent="0.25"/>
    <row r="72" spans="2:2" ht="15" hidden="1" x14ac:dyDescent="0.25"/>
    <row r="73" spans="2:2" ht="15" hidden="1" x14ac:dyDescent="0.25"/>
  </sheetData>
  <sheetProtection algorithmName="SHA-512" hashValue="jEsuKc8vGO0LbBIGgFGo9Y4y37JTS60O4wubuGBbt2a5cbrfbuuP17oXNxzbDWx6VQrYzfXmX0Ap7pdpie3UtA==" saltValue="C4KEx21pro1sqpR4QTsUvw==" spinCount="100000" sheet="1" objects="1" scenarios="1" selectLockedCells="1"/>
  <dataConsolidate link="1"/>
  <mergeCells count="42">
    <mergeCell ref="B46:M46"/>
    <mergeCell ref="B54:M54"/>
    <mergeCell ref="B38:M38"/>
    <mergeCell ref="N38:U38"/>
    <mergeCell ref="N46:U46"/>
    <mergeCell ref="N54:U54"/>
    <mergeCell ref="M4:O4"/>
    <mergeCell ref="M8:N8"/>
    <mergeCell ref="G4:J4"/>
    <mergeCell ref="K4:L4"/>
    <mergeCell ref="R8:S8"/>
    <mergeCell ref="G8:J8"/>
    <mergeCell ref="R9:S12"/>
    <mergeCell ref="B9:D9"/>
    <mergeCell ref="G9:J9"/>
    <mergeCell ref="G10:J10"/>
    <mergeCell ref="M10:N10"/>
    <mergeCell ref="M11:N11"/>
    <mergeCell ref="G12:J12"/>
    <mergeCell ref="G11:J11"/>
    <mergeCell ref="B16:M16"/>
    <mergeCell ref="B22:M22"/>
    <mergeCell ref="B30:M30"/>
    <mergeCell ref="N16:U16"/>
    <mergeCell ref="N22:U22"/>
    <mergeCell ref="N30:U30"/>
    <mergeCell ref="AA2:AA5"/>
    <mergeCell ref="P9:Q12"/>
    <mergeCell ref="B10:D10"/>
    <mergeCell ref="B12:D12"/>
    <mergeCell ref="B11:D11"/>
    <mergeCell ref="M9:N9"/>
    <mergeCell ref="B2:E2"/>
    <mergeCell ref="P8:Q8"/>
    <mergeCell ref="G3:J3"/>
    <mergeCell ref="G2:J2"/>
    <mergeCell ref="K2:M2"/>
    <mergeCell ref="K3:L3"/>
    <mergeCell ref="B8:D8"/>
    <mergeCell ref="P4:Q4"/>
    <mergeCell ref="Z2:Z5"/>
    <mergeCell ref="B3:E3"/>
  </mergeCells>
  <dataValidations count="6">
    <dataValidation allowBlank="1" showInputMessage="1" sqref="E8:E10" xr:uid="{00000000-0002-0000-0000-000000000000}"/>
    <dataValidation type="decimal" errorStyle="information" allowBlank="1" prompt="20°C bis 35°C" sqref="K12" xr:uid="{00000000-0002-0000-0000-000001000000}">
      <formula1>0.3</formula1>
      <formula2>0.8</formula2>
    </dataValidation>
    <dataValidation type="whole" errorStyle="information" allowBlank="1" prompt="Eingabe zwischen 5°C bis 20°C" sqref="K8" xr:uid="{00000000-0002-0000-0000-000002000000}">
      <formula1>5</formula1>
      <formula2>20</formula2>
    </dataValidation>
    <dataValidation type="whole" errorStyle="information" allowBlank="1" error="Eingabe außerhalb des gültigen Bereichs." prompt="Eingabe zwischen Vorlauftemp. und Raumtemp." sqref="K9" xr:uid="{00000000-0002-0000-0000-000003000000}">
      <formula1>K8</formula1>
      <formula2>K10</formula2>
    </dataValidation>
    <dataValidation type="whole" errorStyle="information" allowBlank="1" error="Eingabe außerhalb des gültigen Bereichs." prompt="20°C bis 35°C" sqref="K10:K11" xr:uid="{00000000-0002-0000-0000-000004000000}">
      <formula1>20</formula1>
      <formula2>35</formula2>
    </dataValidation>
    <dataValidation type="list" allowBlank="1" showInputMessage="1" showErrorMessage="1" sqref="E12" xr:uid="{00000000-0002-0000-0000-000005000000}">
      <formula1>Types</formula1>
    </dataValidation>
  </dataValidations>
  <pageMargins left="0.25" right="0.25" top="0.75" bottom="0.75" header="0.3" footer="0.3"/>
  <pageSetup paperSize="9" scale="98" orientation="portrait" r:id="rId1"/>
  <headerFooter>
    <oddFooter xml:space="preserve">&amp;C&amp;8
</oddFooter>
  </headerFooter>
  <ignoredErrors>
    <ignoredError sqref="B19:C20 C29 C37 C45 C61 B17:C17 B18:C18 B21:C21" unlockedFormula="1"/>
  </ignoredErrors>
  <drawing r:id="rId2"/>
  <legacyDrawing r:id="rId3"/>
  <controls>
    <mc:AlternateContent xmlns:mc="http://schemas.openxmlformats.org/markup-compatibility/2006">
      <mc:Choice Requires="x14">
        <control shapeId="2154" r:id="rId4" name="btnCalc">
          <controlPr defaultSize="0" autoLine="0" r:id="rId5">
            <anchor moveWithCells="1">
              <from>
                <xdr:col>5</xdr:col>
                <xdr:colOff>76200</xdr:colOff>
                <xdr:row>11</xdr:row>
                <xdr:rowOff>38100</xdr:rowOff>
              </from>
              <to>
                <xdr:col>5</xdr:col>
                <xdr:colOff>523875</xdr:colOff>
                <xdr:row>12</xdr:row>
                <xdr:rowOff>0</xdr:rowOff>
              </to>
            </anchor>
          </controlPr>
        </control>
      </mc:Choice>
      <mc:Fallback>
        <control shapeId="2154" r:id="rId4" name="btnCalc"/>
      </mc:Fallback>
    </mc:AlternateContent>
    <mc:AlternateContent xmlns:mc="http://schemas.openxmlformats.org/markup-compatibility/2006">
      <mc:Choice Requires="x14">
        <control shapeId="2144" r:id="rId6" name="boxAdmin">
          <controlPr autoLine="0" r:id="rId7">
            <anchor moveWithCells="1">
              <from>
                <xdr:col>23</xdr:col>
                <xdr:colOff>28575</xdr:colOff>
                <xdr:row>63</xdr:row>
                <xdr:rowOff>104775</xdr:rowOff>
              </from>
              <to>
                <xdr:col>16383</xdr:col>
                <xdr:colOff>28575</xdr:colOff>
                <xdr:row>1048575</xdr:row>
                <xdr:rowOff>104775</xdr:rowOff>
              </to>
            </anchor>
          </controlPr>
        </control>
      </mc:Choice>
      <mc:Fallback>
        <control shapeId="2144" r:id="rId6" name="boxAdmin"/>
      </mc:Fallback>
    </mc:AlternateContent>
    <mc:AlternateContent xmlns:mc="http://schemas.openxmlformats.org/markup-compatibility/2006">
      <mc:Choice Requires="x14">
        <control shapeId="2121" r:id="rId8" name="rbtnHumid">
          <controlPr defaultSize="0" autoLine="0" r:id="rId9">
            <anchor moveWithCells="1">
              <from>
                <xdr:col>17</xdr:col>
                <xdr:colOff>114300</xdr:colOff>
                <xdr:row>10</xdr:row>
                <xdr:rowOff>123825</xdr:rowOff>
              </from>
              <to>
                <xdr:col>18</xdr:col>
                <xdr:colOff>552450</xdr:colOff>
                <xdr:row>11</xdr:row>
                <xdr:rowOff>152400</xdr:rowOff>
              </to>
            </anchor>
          </controlPr>
        </control>
      </mc:Choice>
      <mc:Fallback>
        <control shapeId="2121" r:id="rId8" name="rbtnHumid"/>
      </mc:Fallback>
    </mc:AlternateContent>
    <mc:AlternateContent xmlns:mc="http://schemas.openxmlformats.org/markup-compatibility/2006">
      <mc:Choice Requires="x14">
        <control shapeId="2120" r:id="rId10" name="rbtnWet">
          <controlPr defaultSize="0" autoLine="0" r:id="rId11">
            <anchor moveWithCells="1">
              <from>
                <xdr:col>17</xdr:col>
                <xdr:colOff>104775</xdr:colOff>
                <xdr:row>9</xdr:row>
                <xdr:rowOff>76200</xdr:rowOff>
              </from>
              <to>
                <xdr:col>18</xdr:col>
                <xdr:colOff>542925</xdr:colOff>
                <xdr:row>10</xdr:row>
                <xdr:rowOff>104775</xdr:rowOff>
              </to>
            </anchor>
          </controlPr>
        </control>
      </mc:Choice>
      <mc:Fallback>
        <control shapeId="2120" r:id="rId10" name="rbtnWet"/>
      </mc:Fallback>
    </mc:AlternateContent>
    <mc:AlternateContent xmlns:mc="http://schemas.openxmlformats.org/markup-compatibility/2006">
      <mc:Choice Requires="x14">
        <control shapeId="2119" r:id="rId12" name="rbtnDry">
          <controlPr defaultSize="0" disabled="1" autoLine="0" r:id="rId13">
            <anchor moveWithCells="1">
              <from>
                <xdr:col>17</xdr:col>
                <xdr:colOff>104775</xdr:colOff>
                <xdr:row>8</xdr:row>
                <xdr:rowOff>38100</xdr:rowOff>
              </from>
              <to>
                <xdr:col>18</xdr:col>
                <xdr:colOff>552450</xdr:colOff>
                <xdr:row>9</xdr:row>
                <xdr:rowOff>66675</xdr:rowOff>
              </to>
            </anchor>
          </controlPr>
        </control>
      </mc:Choice>
      <mc:Fallback>
        <control shapeId="2119" r:id="rId12" name="rbtnDry"/>
      </mc:Fallback>
    </mc:AlternateContent>
    <mc:AlternateContent xmlns:mc="http://schemas.openxmlformats.org/markup-compatibility/2006">
      <mc:Choice Requires="x14">
        <control shapeId="2112" r:id="rId14" name="lblReq3">
          <controlPr defaultSize="0" autoLine="0" r:id="rId15">
            <anchor moveWithCells="1">
              <from>
                <xdr:col>10</xdr:col>
                <xdr:colOff>114300</xdr:colOff>
                <xdr:row>25</xdr:row>
                <xdr:rowOff>9525</xdr:rowOff>
              </from>
              <to>
                <xdr:col>11</xdr:col>
                <xdr:colOff>495300</xdr:colOff>
                <xdr:row>28</xdr:row>
                <xdr:rowOff>19050</xdr:rowOff>
              </to>
            </anchor>
          </controlPr>
        </control>
      </mc:Choice>
      <mc:Fallback>
        <control shapeId="2112" r:id="rId14" name="lblReq3"/>
      </mc:Fallback>
    </mc:AlternateContent>
    <mc:AlternateContent xmlns:mc="http://schemas.openxmlformats.org/markup-compatibility/2006">
      <mc:Choice Requires="x14">
        <control shapeId="2096" r:id="rId16" name="lblAvb8">
          <controlPr defaultSize="0" autoLine="0" r:id="rId17">
            <anchor moveWithCells="1">
              <from>
                <xdr:col>3</xdr:col>
                <xdr:colOff>123825</xdr:colOff>
                <xdr:row>49</xdr:row>
                <xdr:rowOff>9525</xdr:rowOff>
              </from>
              <to>
                <xdr:col>5</xdr:col>
                <xdr:colOff>495300</xdr:colOff>
                <xdr:row>52</xdr:row>
                <xdr:rowOff>19050</xdr:rowOff>
              </to>
            </anchor>
          </controlPr>
        </control>
      </mc:Choice>
      <mc:Fallback>
        <control shapeId="2096" r:id="rId16" name="lblAvb8"/>
      </mc:Fallback>
    </mc:AlternateContent>
    <mc:AlternateContent xmlns:mc="http://schemas.openxmlformats.org/markup-compatibility/2006">
      <mc:Choice Requires="x14">
        <control shapeId="2051" r:id="rId18" name="rbtnSI">
          <controlPr defaultSize="0" autoFill="0" autoLine="0" r:id="rId19">
            <anchor moveWithCells="1">
              <from>
                <xdr:col>15</xdr:col>
                <xdr:colOff>95250</xdr:colOff>
                <xdr:row>8</xdr:row>
                <xdr:rowOff>47625</xdr:rowOff>
              </from>
              <to>
                <xdr:col>16</xdr:col>
                <xdr:colOff>342900</xdr:colOff>
                <xdr:row>10</xdr:row>
                <xdr:rowOff>9525</xdr:rowOff>
              </to>
            </anchor>
          </controlPr>
        </control>
      </mc:Choice>
      <mc:Fallback>
        <control shapeId="2051" r:id="rId18" name="rbtnSI"/>
      </mc:Fallback>
    </mc:AlternateContent>
    <mc:AlternateContent xmlns:mc="http://schemas.openxmlformats.org/markup-compatibility/2006">
      <mc:Choice Requires="x14">
        <control shapeId="2052" r:id="rId20" name="rbtnImperial">
          <controlPr defaultSize="0" autoFill="0" autoLine="0" r:id="rId21">
            <anchor moveWithCells="1">
              <from>
                <xdr:col>15</xdr:col>
                <xdr:colOff>95250</xdr:colOff>
                <xdr:row>10</xdr:row>
                <xdr:rowOff>9525</xdr:rowOff>
              </from>
              <to>
                <xdr:col>16</xdr:col>
                <xdr:colOff>533400</xdr:colOff>
                <xdr:row>11</xdr:row>
                <xdr:rowOff>161925</xdr:rowOff>
              </to>
            </anchor>
          </controlPr>
        </control>
      </mc:Choice>
      <mc:Fallback>
        <control shapeId="2052" r:id="rId20" name="rbtnImperial"/>
      </mc:Fallback>
    </mc:AlternateContent>
    <mc:AlternateContent xmlns:mc="http://schemas.openxmlformats.org/markup-compatibility/2006">
      <mc:Choice Requires="x14">
        <control shapeId="2053" r:id="rId22" name="btnCopy">
          <controlPr defaultSize="0" autoLine="0" autoPict="0" r:id="rId23">
            <anchor moveWithCells="1">
              <from>
                <xdr:col>14</xdr:col>
                <xdr:colOff>0</xdr:colOff>
                <xdr:row>0</xdr:row>
                <xdr:rowOff>66675</xdr:rowOff>
              </from>
              <to>
                <xdr:col>17</xdr:col>
                <xdr:colOff>9525</xdr:colOff>
                <xdr:row>2</xdr:row>
                <xdr:rowOff>161925</xdr:rowOff>
              </to>
            </anchor>
          </controlPr>
        </control>
      </mc:Choice>
      <mc:Fallback>
        <control shapeId="2053" r:id="rId22" name="btnCopy"/>
      </mc:Fallback>
    </mc:AlternateContent>
    <mc:AlternateContent xmlns:mc="http://schemas.openxmlformats.org/markup-compatibility/2006">
      <mc:Choice Requires="x14">
        <control shapeId="2065" r:id="rId24" name="lblReq10">
          <controlPr defaultSize="0" autoLine="0" r:id="rId25">
            <anchor moveWithCells="1">
              <from>
                <xdr:col>10</xdr:col>
                <xdr:colOff>114300</xdr:colOff>
                <xdr:row>57</xdr:row>
                <xdr:rowOff>9525</xdr:rowOff>
              </from>
              <to>
                <xdr:col>11</xdr:col>
                <xdr:colOff>495300</xdr:colOff>
                <xdr:row>60</xdr:row>
                <xdr:rowOff>19050</xdr:rowOff>
              </to>
            </anchor>
          </controlPr>
        </control>
      </mc:Choice>
      <mc:Fallback>
        <control shapeId="2065" r:id="rId24" name="lblReq10"/>
      </mc:Fallback>
    </mc:AlternateContent>
    <mc:AlternateContent xmlns:mc="http://schemas.openxmlformats.org/markup-compatibility/2006">
      <mc:Choice Requires="x14">
        <control shapeId="2072" r:id="rId26" name="lblReq8">
          <controlPr defaultSize="0" autoLine="0" r:id="rId27">
            <anchor moveWithCells="1">
              <from>
                <xdr:col>10</xdr:col>
                <xdr:colOff>114300</xdr:colOff>
                <xdr:row>49</xdr:row>
                <xdr:rowOff>9525</xdr:rowOff>
              </from>
              <to>
                <xdr:col>11</xdr:col>
                <xdr:colOff>495300</xdr:colOff>
                <xdr:row>52</xdr:row>
                <xdr:rowOff>19050</xdr:rowOff>
              </to>
            </anchor>
          </controlPr>
        </control>
      </mc:Choice>
      <mc:Fallback>
        <control shapeId="2072" r:id="rId26" name="lblReq8"/>
      </mc:Fallback>
    </mc:AlternateContent>
    <mc:AlternateContent xmlns:mc="http://schemas.openxmlformats.org/markup-compatibility/2006">
      <mc:Choice Requires="x14">
        <control shapeId="2074" r:id="rId28" name="lblReq6">
          <controlPr defaultSize="0" autoLine="0" r:id="rId29">
            <anchor moveWithCells="1">
              <from>
                <xdr:col>10</xdr:col>
                <xdr:colOff>114300</xdr:colOff>
                <xdr:row>41</xdr:row>
                <xdr:rowOff>9525</xdr:rowOff>
              </from>
              <to>
                <xdr:col>11</xdr:col>
                <xdr:colOff>495300</xdr:colOff>
                <xdr:row>44</xdr:row>
                <xdr:rowOff>19050</xdr:rowOff>
              </to>
            </anchor>
          </controlPr>
        </control>
      </mc:Choice>
      <mc:Fallback>
        <control shapeId="2074" r:id="rId28" name="lblReq6"/>
      </mc:Fallback>
    </mc:AlternateContent>
    <mc:AlternateContent xmlns:mc="http://schemas.openxmlformats.org/markup-compatibility/2006">
      <mc:Choice Requires="x14">
        <control shapeId="2095" r:id="rId30" name="lblAvb10">
          <controlPr defaultSize="0" autoLine="0" r:id="rId31">
            <anchor moveWithCells="1">
              <from>
                <xdr:col>3</xdr:col>
                <xdr:colOff>123825</xdr:colOff>
                <xdr:row>57</xdr:row>
                <xdr:rowOff>9525</xdr:rowOff>
              </from>
              <to>
                <xdr:col>5</xdr:col>
                <xdr:colOff>495300</xdr:colOff>
                <xdr:row>60</xdr:row>
                <xdr:rowOff>19050</xdr:rowOff>
              </to>
            </anchor>
          </controlPr>
        </control>
      </mc:Choice>
      <mc:Fallback>
        <control shapeId="2095" r:id="rId30" name="lblAvb10"/>
      </mc:Fallback>
    </mc:AlternateContent>
    <mc:AlternateContent xmlns:mc="http://schemas.openxmlformats.org/markup-compatibility/2006">
      <mc:Choice Requires="x14">
        <control shapeId="2104" r:id="rId32" name="lblAvb6">
          <controlPr defaultSize="0" autoLine="0" r:id="rId33">
            <anchor moveWithCells="1">
              <from>
                <xdr:col>3</xdr:col>
                <xdr:colOff>123825</xdr:colOff>
                <xdr:row>41</xdr:row>
                <xdr:rowOff>9525</xdr:rowOff>
              </from>
              <to>
                <xdr:col>5</xdr:col>
                <xdr:colOff>495300</xdr:colOff>
                <xdr:row>44</xdr:row>
                <xdr:rowOff>19050</xdr:rowOff>
              </to>
            </anchor>
          </controlPr>
        </control>
      </mc:Choice>
      <mc:Fallback>
        <control shapeId="2104" r:id="rId32" name="lblAvb6"/>
      </mc:Fallback>
    </mc:AlternateContent>
    <mc:AlternateContent xmlns:mc="http://schemas.openxmlformats.org/markup-compatibility/2006">
      <mc:Choice Requires="x14">
        <control shapeId="2107" r:id="rId34" name="lblReq4">
          <controlPr defaultSize="0" autoLine="0" r:id="rId35">
            <anchor moveWithCells="1">
              <from>
                <xdr:col>10</xdr:col>
                <xdr:colOff>114300</xdr:colOff>
                <xdr:row>33</xdr:row>
                <xdr:rowOff>9525</xdr:rowOff>
              </from>
              <to>
                <xdr:col>11</xdr:col>
                <xdr:colOff>495300</xdr:colOff>
                <xdr:row>36</xdr:row>
                <xdr:rowOff>19050</xdr:rowOff>
              </to>
            </anchor>
          </controlPr>
        </control>
      </mc:Choice>
      <mc:Fallback>
        <control shapeId="2107" r:id="rId34" name="lblReq4"/>
      </mc:Fallback>
    </mc:AlternateContent>
    <mc:AlternateContent xmlns:mc="http://schemas.openxmlformats.org/markup-compatibility/2006">
      <mc:Choice Requires="x14">
        <control shapeId="2109" r:id="rId36" name="lblAvb4">
          <controlPr defaultSize="0" autoLine="0" r:id="rId37">
            <anchor moveWithCells="1">
              <from>
                <xdr:col>3</xdr:col>
                <xdr:colOff>123825</xdr:colOff>
                <xdr:row>33</xdr:row>
                <xdr:rowOff>9525</xdr:rowOff>
              </from>
              <to>
                <xdr:col>5</xdr:col>
                <xdr:colOff>495300</xdr:colOff>
                <xdr:row>36</xdr:row>
                <xdr:rowOff>9525</xdr:rowOff>
              </to>
            </anchor>
          </controlPr>
        </control>
      </mc:Choice>
      <mc:Fallback>
        <control shapeId="2109" r:id="rId36" name="lblAvb4"/>
      </mc:Fallback>
    </mc:AlternateContent>
    <mc:AlternateContent xmlns:mc="http://schemas.openxmlformats.org/markup-compatibility/2006">
      <mc:Choice Requires="x14">
        <control shapeId="2110" r:id="rId38" name="lblAvb3">
          <controlPr defaultSize="0" autoLine="0" r:id="rId39">
            <anchor moveWithCells="1">
              <from>
                <xdr:col>3</xdr:col>
                <xdr:colOff>123825</xdr:colOff>
                <xdr:row>25</xdr:row>
                <xdr:rowOff>9525</xdr:rowOff>
              </from>
              <to>
                <xdr:col>5</xdr:col>
                <xdr:colOff>495300</xdr:colOff>
                <xdr:row>28</xdr:row>
                <xdr:rowOff>19050</xdr:rowOff>
              </to>
            </anchor>
          </controlPr>
        </control>
      </mc:Choice>
      <mc:Fallback>
        <control shapeId="2110" r:id="rId38" name="lblAvb3"/>
      </mc:Fallback>
    </mc:AlternateContent>
  </control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6000000}">
          <x14:formula1>
            <xm:f>cal!$AI$2:$AI$4</xm:f>
          </x14:formula1>
          <xm:sqref>K3:L3</xm:sqref>
        </x14:dataValidation>
        <x14:dataValidation type="list" allowBlank="1" showInputMessage="1" showErrorMessage="1" xr:uid="{00000000-0002-0000-0000-000007000000}">
          <x14:formula1>
            <xm:f>cal!$AK$1:$AK$4</xm:f>
          </x14:formula1>
          <xm:sqref>K4:L4</xm:sqref>
        </x14:dataValidation>
        <x14:dataValidation type="list" allowBlank="1" showInputMessage="1" showErrorMessage="1" xr:uid="{00000000-0002-0000-0000-000008000000}">
          <x14:formula1>
            <xm:f>cal!$AN$3:$AN$7</xm:f>
          </x14:formula1>
          <xm:sqref>M3</xm:sqref>
        </x14:dataValidation>
        <x14:dataValidation type="list" allowBlank="1" showInputMessage="1" showErrorMessage="1" xr:uid="{00000000-0002-0000-0000-000009000000}">
          <x14:formula1>
            <xm:f>cal!$AF$1:$AF$2</xm:f>
          </x14:formula1>
          <xm:sqref>P4</xm:sqref>
        </x14:dataValidation>
        <x14:dataValidation type="list" allowBlank="1" showInputMessage="1" showErrorMessage="1" xr:uid="{00000000-0002-0000-0000-00000A000000}">
          <x14:formula1>
            <xm:f>cal!$AL$3:$AL$4</xm:f>
          </x14:formula1>
          <xm:sqref>M4:O4</xm:sqref>
        </x14:dataValidation>
        <x14:dataValidation type="list" allowBlank="1" showInputMessage="1" showErrorMessage="1" xr:uid="{00000000-0002-0000-0000-00000B000000}">
          <x14:formula1>
            <xm:f>cal!$I$1:$P$1</xm:f>
          </x14:formula1>
          <xm:sqref>K2:M2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EN1"/>
  <dimension ref="A1:W66"/>
  <sheetViews>
    <sheetView workbookViewId="0">
      <selection activeCell="K2" sqref="K2:M2"/>
    </sheetView>
  </sheetViews>
  <sheetFormatPr defaultColWidth="9.140625" defaultRowHeight="15" x14ac:dyDescent="0.25"/>
  <cols>
    <col min="1" max="1" width="7" style="2" customWidth="1"/>
    <col min="2" max="2" width="6.140625" style="2" customWidth="1"/>
    <col min="3" max="3" width="7" style="2" customWidth="1"/>
    <col min="4" max="4" width="6.7109375" style="2" customWidth="1"/>
    <col min="5" max="19" width="7" style="2" customWidth="1"/>
    <col min="20" max="16384" width="9.140625" style="2"/>
  </cols>
  <sheetData>
    <row r="1" spans="1:23" x14ac:dyDescent="0.25">
      <c r="A1" s="1"/>
    </row>
    <row r="2" spans="1:23" x14ac:dyDescent="0.25">
      <c r="A2" s="3" t="s">
        <v>26</v>
      </c>
      <c r="B2" s="4"/>
    </row>
    <row r="3" spans="1:23" x14ac:dyDescent="0.25">
      <c r="A3" s="1"/>
      <c r="G3" s="684" t="s">
        <v>454</v>
      </c>
      <c r="H3" s="622">
        <v>0</v>
      </c>
      <c r="I3" s="622">
        <v>0</v>
      </c>
      <c r="J3" s="623">
        <v>0</v>
      </c>
    </row>
    <row r="4" spans="1:23" x14ac:dyDescent="0.25">
      <c r="A4" s="5" t="s">
        <v>24</v>
      </c>
      <c r="G4" s="684" t="s">
        <v>455</v>
      </c>
      <c r="H4" s="622">
        <v>0</v>
      </c>
      <c r="I4" s="622">
        <v>0</v>
      </c>
      <c r="J4" s="623">
        <v>0</v>
      </c>
    </row>
    <row r="5" spans="1:23" ht="6" customHeight="1" thickBot="1" x14ac:dyDescent="0.3">
      <c r="A5" s="6"/>
      <c r="B5" s="7"/>
      <c r="C5" s="7"/>
      <c r="D5" s="7"/>
      <c r="E5" s="7"/>
      <c r="F5" s="7"/>
      <c r="G5" s="7"/>
      <c r="H5" s="7"/>
      <c r="I5" s="7"/>
      <c r="J5" s="7"/>
      <c r="K5" s="7"/>
      <c r="L5" s="7"/>
      <c r="M5" s="7"/>
      <c r="N5" s="7"/>
      <c r="O5" s="7"/>
      <c r="P5" s="7"/>
      <c r="Q5" s="8"/>
      <c r="R5" s="10"/>
      <c r="S5" s="10"/>
    </row>
    <row r="6" spans="1:23" ht="15.75" thickBot="1" x14ac:dyDescent="0.3">
      <c r="A6" s="9" t="s">
        <v>447</v>
      </c>
      <c r="B6" s="10"/>
      <c r="C6" s="10"/>
      <c r="D6" s="10"/>
      <c r="E6" s="10"/>
      <c r="F6" s="10"/>
      <c r="G6" s="10"/>
      <c r="H6" s="10"/>
      <c r="I6" s="10"/>
      <c r="J6" s="10"/>
      <c r="K6" s="10"/>
      <c r="L6" s="686" t="s">
        <v>457</v>
      </c>
      <c r="M6" s="687"/>
      <c r="N6" s="274"/>
      <c r="O6" s="10"/>
      <c r="P6" s="10"/>
      <c r="Q6" s="11"/>
      <c r="R6" s="10"/>
      <c r="S6" s="10"/>
    </row>
    <row r="7" spans="1:23" ht="15.75" thickBot="1" x14ac:dyDescent="0.3">
      <c r="A7" s="9" t="s">
        <v>451</v>
      </c>
      <c r="B7" s="10"/>
      <c r="C7" s="10"/>
      <c r="D7" s="10"/>
      <c r="E7" s="10"/>
      <c r="F7" s="521" t="s">
        <v>452</v>
      </c>
      <c r="G7" s="12"/>
      <c r="H7" s="12"/>
      <c r="I7" s="10"/>
      <c r="J7" s="10"/>
      <c r="K7" s="10"/>
      <c r="L7" s="636"/>
      <c r="M7" s="637"/>
      <c r="N7" s="275"/>
      <c r="O7" s="10"/>
      <c r="P7" s="10"/>
      <c r="Q7" s="552" t="s">
        <v>450</v>
      </c>
      <c r="R7" s="553"/>
      <c r="S7" s="552" t="s">
        <v>458</v>
      </c>
      <c r="T7" s="553"/>
    </row>
    <row r="8" spans="1:23" ht="15.75" thickBot="1" x14ac:dyDescent="0.3">
      <c r="A8" s="685" t="str">
        <f>"Voda na přívodu"</f>
        <v>Voda na přívodu</v>
      </c>
      <c r="B8" s="613"/>
      <c r="C8" s="614"/>
      <c r="D8" s="13">
        <f>cal!E10</f>
        <v>65</v>
      </c>
      <c r="E8" s="52" t="str">
        <f>IF(cal!$Z$5=1,"°C",IF(cal!$Z$5=2,"°F"))</f>
        <v>°C</v>
      </c>
      <c r="F8" s="613" t="str">
        <f>A8</f>
        <v>Voda na přívodu</v>
      </c>
      <c r="G8" s="613"/>
      <c r="H8" s="613"/>
      <c r="I8" s="613"/>
      <c r="J8" s="13">
        <f>cal!K10</f>
        <v>16</v>
      </c>
      <c r="K8" s="10" t="str">
        <f>E8</f>
        <v>°C</v>
      </c>
      <c r="L8" s="10"/>
      <c r="M8" s="10"/>
      <c r="N8" s="10"/>
      <c r="O8" s="10"/>
      <c r="P8" s="10"/>
      <c r="Q8" s="643"/>
      <c r="R8" s="644"/>
      <c r="S8" s="10"/>
    </row>
    <row r="9" spans="1:23" ht="15.75" thickBot="1" x14ac:dyDescent="0.3">
      <c r="A9" s="685" t="str">
        <f>"Voda na zpátečce"</f>
        <v>Voda na zpátečce</v>
      </c>
      <c r="B9" s="613"/>
      <c r="C9" s="614"/>
      <c r="D9" s="13">
        <f>cal!E11</f>
        <v>55</v>
      </c>
      <c r="E9" s="52" t="str">
        <f>E8</f>
        <v>°C</v>
      </c>
      <c r="F9" s="613" t="str">
        <f>A9</f>
        <v>Voda na zpátečce</v>
      </c>
      <c r="G9" s="613"/>
      <c r="H9" s="613"/>
      <c r="I9" s="614"/>
      <c r="J9" s="13">
        <f>cal!K11</f>
        <v>18</v>
      </c>
      <c r="K9" s="10" t="str">
        <f>E8</f>
        <v>°C</v>
      </c>
      <c r="L9" s="686" t="s">
        <v>456</v>
      </c>
      <c r="M9" s="687"/>
      <c r="N9" s="274"/>
      <c r="O9" s="10"/>
      <c r="P9" s="10"/>
      <c r="Q9" s="645"/>
      <c r="R9" s="646"/>
      <c r="S9" s="10"/>
    </row>
    <row r="10" spans="1:23" ht="15.75" thickBot="1" x14ac:dyDescent="0.3">
      <c r="A10" s="685" t="s">
        <v>465</v>
      </c>
      <c r="B10" s="613"/>
      <c r="C10" s="614"/>
      <c r="D10" s="13">
        <f>cal!E12</f>
        <v>20</v>
      </c>
      <c r="E10" s="52" t="str">
        <f>E8</f>
        <v>°C</v>
      </c>
      <c r="F10" s="613" t="str">
        <f>A10</f>
        <v>"Suchá" teplota vzduchu</v>
      </c>
      <c r="G10" s="613"/>
      <c r="H10" s="613"/>
      <c r="I10" s="614"/>
      <c r="J10" s="13">
        <f>cal!K12</f>
        <v>27</v>
      </c>
      <c r="K10" s="10" t="str">
        <f>E8</f>
        <v>°C</v>
      </c>
      <c r="L10" s="641"/>
      <c r="M10" s="642"/>
      <c r="N10" s="276"/>
      <c r="O10" s="10"/>
      <c r="P10" s="10"/>
      <c r="Q10" s="645"/>
      <c r="R10" s="646"/>
      <c r="S10" s="10"/>
      <c r="U10" s="2" t="s">
        <v>472</v>
      </c>
    </row>
    <row r="11" spans="1:23" x14ac:dyDescent="0.25">
      <c r="A11" s="262" t="s">
        <v>466</v>
      </c>
      <c r="B11" s="263"/>
      <c r="C11" s="263"/>
      <c r="D11" s="10"/>
      <c r="E11" s="10"/>
      <c r="F11" s="10" t="s">
        <v>453</v>
      </c>
      <c r="G11" s="10"/>
      <c r="H11" s="10"/>
      <c r="I11" s="10"/>
      <c r="J11" s="15">
        <f>cal!K14</f>
        <v>0.5</v>
      </c>
      <c r="K11" s="10"/>
      <c r="L11" s="10"/>
      <c r="M11" s="10"/>
      <c r="N11" s="10"/>
      <c r="O11" s="10"/>
      <c r="P11" s="10"/>
      <c r="Q11" s="11"/>
      <c r="R11" s="10"/>
      <c r="S11" s="10"/>
      <c r="U11" s="2" t="s">
        <v>473</v>
      </c>
    </row>
    <row r="12" spans="1:23" ht="6" customHeight="1" x14ac:dyDescent="0.25">
      <c r="A12" s="16"/>
      <c r="B12" s="17"/>
      <c r="C12" s="17"/>
      <c r="D12" s="17"/>
      <c r="E12" s="18"/>
      <c r="F12" s="18"/>
      <c r="G12" s="18"/>
      <c r="H12" s="18"/>
      <c r="I12" s="18"/>
      <c r="J12" s="18"/>
      <c r="K12" s="18"/>
      <c r="L12" s="18"/>
      <c r="M12" s="18"/>
      <c r="N12" s="18"/>
      <c r="O12" s="18"/>
      <c r="P12" s="18"/>
      <c r="Q12" s="19"/>
      <c r="R12" s="10"/>
      <c r="S12" s="10"/>
    </row>
    <row r="13" spans="1:23" x14ac:dyDescent="0.25">
      <c r="A13" s="20"/>
      <c r="B13" s="20"/>
      <c r="C13" s="20"/>
      <c r="D13" s="20"/>
      <c r="E13" s="20"/>
      <c r="F13" s="20"/>
      <c r="G13" s="20"/>
      <c r="H13" s="20"/>
      <c r="I13" s="20"/>
      <c r="J13" s="20"/>
      <c r="K13" s="20"/>
      <c r="L13" s="20"/>
      <c r="M13" s="20"/>
    </row>
    <row r="14" spans="1:23" s="28" customFormat="1" ht="95.45" customHeight="1" x14ac:dyDescent="0.25">
      <c r="A14" s="518" t="s">
        <v>445</v>
      </c>
      <c r="B14" s="519" t="s">
        <v>446</v>
      </c>
      <c r="C14" s="21" t="str">
        <f>CONCATENATE("Výkon Topení * ",ROUND(D8,0),"/",ROUND(D9,0),"/",ROUND(D10,0)," ["&amp;IF(cal!$Z$5=1,"W",IF(cal!$Z$5=2,"Btu/h"))&amp;"]")</f>
        <v>Výkon Topení * 65/55/20 [W]</v>
      </c>
      <c r="D14" s="23" t="str">
        <f>"Průtok vody, topení ["&amp;IF(cal!$Z$5=1,"l/h",IF(cal!$Z$5=2,"GPM"))&amp;"]"</f>
        <v>Průtok vody, topení [l/h]</v>
      </c>
      <c r="E14" s="24" t="str">
        <f>"Tlaková ztráta ["&amp;IF(cal!$Z$5=1,"kPa",IF(cal!$Z$5=2,"ftH2O"))&amp;"]"</f>
        <v>Tlaková ztráta [kPa]</v>
      </c>
      <c r="F14" s="22" t="str">
        <f>CONCATENATE("Výkon chlazení Znatelný * ",ROUND(J8,0),"/",ROUND(J9,0),"/",ROUND(J10,0)," ["&amp;IF(cal!$Z$5=1,"W",IF(cal!$Z$5=2,"Btu/h"))&amp;"]")</f>
        <v>Výkon chlazení Znatelný * 16/18/27 [W]</v>
      </c>
      <c r="G14" s="22" t="str">
        <f>CONCATENATE("Výkon chlazení Celkový ",ROUND(J8,0),"/",ROUND(J9,0),"/",ROUND(J10,0)," ["&amp;IF(cal!$Z$5=1,"W",IF(cal!$Z$5=2,"Btu/h"))&amp;"]")</f>
        <v>Výkon chlazení Celkový 16/18/27 [W]</v>
      </c>
      <c r="H14" s="22" t="str">
        <f>"Průtok vody,chlazení ["&amp;IF(cal!$Z$5=1,"l/h",IF(cal!$Z$5=2,"GPM"))&amp;"]"</f>
        <v>Průtok vody,chlazení [l/h]</v>
      </c>
      <c r="I14" s="25" t="str">
        <f>E14</f>
        <v>Tlaková ztráta [kPa]</v>
      </c>
      <c r="J14" s="21" t="s">
        <v>464</v>
      </c>
      <c r="K14" s="26" t="s">
        <v>463</v>
      </c>
      <c r="L14" s="22" t="s">
        <v>462</v>
      </c>
      <c r="M14" s="27" t="str">
        <f>"Průtok vzduchu ["&amp;IF(cal!$Z$5=1,"m³/h",IF(cal!$Z$5=2,"CFM"))&amp;"]"</f>
        <v>Průtok vzduchu [m³/h]</v>
      </c>
      <c r="N14" s="27" t="str">
        <f>"Rychlost proudění vzduchu ["&amp;IF(cal!$Z$5=1,"m/s",IF(cal!$Z$5=2,"ft/min"))&amp;"]"</f>
        <v>Rychlost proudění vzduchu [m/s]</v>
      </c>
      <c r="O14" s="209" t="str">
        <f>"Výfuková teplota vzduchu topení ["&amp;IF(cal!$Z$5=1,"°C",IF(cal!$Z$5=2,"°F"))&amp;"]"</f>
        <v>Výfuková teplota vzduchu topení [°C]</v>
      </c>
      <c r="P14" s="209" t="str">
        <f>"Air exhaust temp. heating (wet bulb) ["&amp;IF(cal!$Z$5=1,"°C",IF(cal!$Z$5=2,"°F"))&amp;"]"</f>
        <v>Air exhaust temp. heating (wet bulb) [°C]</v>
      </c>
      <c r="Q14" s="210" t="str">
        <f>"Výfuková teplota vzduchu chlazení („suchá“ tepl. vzduchu) ["&amp;IF(cal!$Z$5=1,"°C",IF(cal!$Z$5=2,"°F"))&amp;"]"</f>
        <v>Výfuková teplota vzduchu chlazení („suchá“ tepl. vzduchu) [°C]</v>
      </c>
      <c r="R14" s="210" t="str">
        <f>"Výfuková teplota vzduchu chlazení (tepl. mokrého teploměru) ["&amp;IF(cal!$Z$5=1,"°C",IF(cal!$Z$5=2,"°F"))&amp;"]"</f>
        <v>Výfuková teplota vzduchu chlazení (tepl. mokrého teploměru) [°C]</v>
      </c>
      <c r="S14" s="211" t="s">
        <v>461</v>
      </c>
      <c r="T14" s="211" t="s">
        <v>460</v>
      </c>
      <c r="U14" s="28" t="s">
        <v>459</v>
      </c>
    </row>
    <row r="15" spans="1:23" ht="18" customHeight="1" x14ac:dyDescent="0.25">
      <c r="A15" s="688" t="str">
        <f>cal!$AK$7&amp;", "&amp;$V$16&amp;" "&amp;ROUND(cal!BK23,1)&amp;IF(cal!$Z$5=1," cm, ",IF(cal!$Z$5=2," in, "))&amp;$V$17&amp;" "&amp;ROUND(cal!BL23,1)&amp;IF(cal!$Z$5=1," cm, ",IF(cal!$Z$5=2," in, "))&amp;$V$18&amp;" "&amp;ROUND(cal!BM23,1)&amp;IF(cal!$Z$5=1," cm ",IF(cal!$Z$5=2," in "))&amp;$S15</f>
        <v>Briza 22 (230V), Výška 54,5 cm, Šířka 22 cm, Délka 55 cm (Typ 02)</v>
      </c>
      <c r="B15" s="689"/>
      <c r="C15" s="689"/>
      <c r="D15" s="689"/>
      <c r="E15" s="689"/>
      <c r="F15" s="689"/>
      <c r="G15" s="689"/>
      <c r="H15" s="689"/>
      <c r="I15" s="689"/>
      <c r="J15" s="689"/>
      <c r="K15" s="689"/>
      <c r="L15" s="689"/>
      <c r="M15" s="690" t="str">
        <f>$U$27</f>
        <v>Objednací kód:</v>
      </c>
      <c r="N15" s="690"/>
      <c r="O15" s="690"/>
      <c r="P15" s="690"/>
      <c r="Q15" s="691"/>
      <c r="R15" s="207"/>
      <c r="S15" s="207" t="s">
        <v>436</v>
      </c>
    </row>
    <row r="16" spans="1:23" x14ac:dyDescent="0.25">
      <c r="A16" s="29"/>
      <c r="B16" s="30"/>
      <c r="C16" s="31"/>
      <c r="D16" s="32"/>
      <c r="E16" s="33"/>
      <c r="F16" s="32"/>
      <c r="G16" s="32"/>
      <c r="H16" s="32"/>
      <c r="I16" s="34"/>
      <c r="J16" s="31"/>
      <c r="K16" s="35"/>
      <c r="L16" s="36"/>
      <c r="M16" s="37"/>
      <c r="N16" s="172"/>
      <c r="Q16" s="38"/>
      <c r="U16" s="2" t="s">
        <v>471</v>
      </c>
      <c r="V16" s="2" t="s">
        <v>510</v>
      </c>
      <c r="W16" s="517" t="s">
        <v>433</v>
      </c>
    </row>
    <row r="17" spans="1:23" x14ac:dyDescent="0.25">
      <c r="A17" s="29"/>
      <c r="B17" s="30"/>
      <c r="C17" s="31"/>
      <c r="D17" s="32"/>
      <c r="E17" s="33"/>
      <c r="F17" s="32"/>
      <c r="G17" s="32"/>
      <c r="H17" s="32"/>
      <c r="I17" s="34"/>
      <c r="J17" s="31"/>
      <c r="K17" s="35"/>
      <c r="L17" s="36"/>
      <c r="M17" s="37"/>
      <c r="N17" s="172"/>
      <c r="Q17" s="38"/>
      <c r="U17" s="517" t="s">
        <v>447</v>
      </c>
      <c r="V17" s="2" t="s">
        <v>511</v>
      </c>
      <c r="W17" s="517" t="s">
        <v>434</v>
      </c>
    </row>
    <row r="18" spans="1:23" x14ac:dyDescent="0.25">
      <c r="A18" s="29"/>
      <c r="B18" s="30"/>
      <c r="C18" s="31"/>
      <c r="D18" s="32"/>
      <c r="E18" s="33"/>
      <c r="F18" s="32"/>
      <c r="G18" s="32"/>
      <c r="H18" s="32"/>
      <c r="I18" s="34"/>
      <c r="J18" s="31"/>
      <c r="K18" s="35"/>
      <c r="L18" s="36"/>
      <c r="M18" s="37"/>
      <c r="N18" s="172"/>
      <c r="Q18" s="38"/>
      <c r="U18" s="517" t="s">
        <v>448</v>
      </c>
      <c r="V18" s="2" t="s">
        <v>512</v>
      </c>
      <c r="W18" s="517" t="s">
        <v>435</v>
      </c>
    </row>
    <row r="19" spans="1:23" x14ac:dyDescent="0.25">
      <c r="A19" s="29"/>
      <c r="B19" s="30"/>
      <c r="C19" s="31"/>
      <c r="D19" s="32"/>
      <c r="E19" s="33"/>
      <c r="F19" s="32"/>
      <c r="G19" s="32"/>
      <c r="H19" s="32"/>
      <c r="I19" s="34"/>
      <c r="J19" s="31"/>
      <c r="K19" s="35"/>
      <c r="L19" s="36"/>
      <c r="M19" s="37"/>
      <c r="N19" s="172"/>
      <c r="Q19" s="38"/>
      <c r="U19" s="517" t="s">
        <v>449</v>
      </c>
      <c r="W19" s="2" t="s">
        <v>483</v>
      </c>
    </row>
    <row r="20" spans="1:23" x14ac:dyDescent="0.25">
      <c r="A20" s="29"/>
      <c r="B20" s="30"/>
      <c r="C20" s="31"/>
      <c r="D20" s="32"/>
      <c r="E20" s="33"/>
      <c r="F20" s="32"/>
      <c r="G20" s="32"/>
      <c r="H20" s="32"/>
      <c r="I20" s="34"/>
      <c r="J20" s="31"/>
      <c r="K20" s="35"/>
      <c r="L20" s="36"/>
      <c r="M20" s="37"/>
      <c r="N20" s="172"/>
      <c r="Q20" s="38"/>
      <c r="W20" s="2" t="s">
        <v>484</v>
      </c>
    </row>
    <row r="21" spans="1:23" x14ac:dyDescent="0.25">
      <c r="A21" s="29"/>
      <c r="B21" s="30"/>
      <c r="C21" s="31"/>
      <c r="D21" s="32"/>
      <c r="E21" s="33"/>
      <c r="F21" s="32"/>
      <c r="G21" s="32"/>
      <c r="H21" s="32"/>
      <c r="I21" s="34"/>
      <c r="J21" s="31"/>
      <c r="K21" s="35"/>
      <c r="L21" s="36"/>
      <c r="M21" s="37"/>
      <c r="N21" s="172"/>
      <c r="Q21" s="38"/>
      <c r="W21" s="2" t="s">
        <v>485</v>
      </c>
    </row>
    <row r="22" spans="1:23" x14ac:dyDescent="0.25">
      <c r="A22" s="43"/>
      <c r="B22" s="44"/>
      <c r="C22" s="45"/>
      <c r="D22" s="46"/>
      <c r="E22" s="47"/>
      <c r="F22" s="46"/>
      <c r="G22" s="46"/>
      <c r="H22" s="46"/>
      <c r="I22" s="48"/>
      <c r="J22" s="45"/>
      <c r="K22" s="49"/>
      <c r="L22" s="50"/>
      <c r="M22" s="51"/>
      <c r="N22" s="277"/>
      <c r="O22" s="20"/>
      <c r="P22" s="20"/>
      <c r="Q22" s="39"/>
      <c r="U22" s="2" t="s">
        <v>467</v>
      </c>
      <c r="W22" s="2" t="s">
        <v>506</v>
      </c>
    </row>
    <row r="23" spans="1:23" ht="16.899999999999999" customHeight="1" x14ac:dyDescent="0.25">
      <c r="A23" s="688" t="str">
        <f>cal!$AK$7&amp;", "&amp;$V$16&amp;" "&amp;ROUND(cal!BK31,1)&amp;IF(cal!$Z$5=1," cm, ",IF(cal!$Z$5=2," in, "))&amp;$V$17&amp;" "&amp;ROUND(cal!BL31,1)&amp;IF(cal!$Z$5=1," cm, ",IF(cal!$Z$5=2," in, "))&amp;$V$18&amp;" "&amp;ROUND(cal!BM31,1)&amp;IF(cal!$Z$5=1," cm ",IF(cal!$Z$5=2," in "))&amp;$S23</f>
        <v>Briza 22 (230V), Výška 54,5 cm, Šířka 22 cm, Délka 75 cm (Typ 03)</v>
      </c>
      <c r="B23" s="689"/>
      <c r="C23" s="689"/>
      <c r="D23" s="689"/>
      <c r="E23" s="689"/>
      <c r="F23" s="689"/>
      <c r="G23" s="689"/>
      <c r="H23" s="689"/>
      <c r="I23" s="689"/>
      <c r="J23" s="689"/>
      <c r="K23" s="689"/>
      <c r="L23" s="689"/>
      <c r="M23" s="690" t="str">
        <f>$U$27</f>
        <v>Objednací kód:</v>
      </c>
      <c r="N23" s="690"/>
      <c r="O23" s="690"/>
      <c r="P23" s="690"/>
      <c r="Q23" s="691"/>
      <c r="R23" s="207"/>
      <c r="S23" s="207" t="s">
        <v>437</v>
      </c>
      <c r="W23" s="2" t="s">
        <v>507</v>
      </c>
    </row>
    <row r="24" spans="1:23" x14ac:dyDescent="0.25">
      <c r="A24" s="29"/>
      <c r="B24" s="30"/>
      <c r="C24" s="31"/>
      <c r="D24" s="32"/>
      <c r="E24" s="33"/>
      <c r="F24" s="32"/>
      <c r="G24" s="32"/>
      <c r="H24" s="32"/>
      <c r="I24" s="34"/>
      <c r="J24" s="31"/>
      <c r="K24" s="35"/>
      <c r="L24" s="36"/>
      <c r="M24" s="37"/>
      <c r="N24" s="172"/>
      <c r="Q24" s="38"/>
      <c r="U24" t="s">
        <v>468</v>
      </c>
    </row>
    <row r="25" spans="1:23" x14ac:dyDescent="0.25">
      <c r="A25" s="29"/>
      <c r="B25" s="30"/>
      <c r="C25" s="31"/>
      <c r="D25" s="32"/>
      <c r="E25" s="33"/>
      <c r="F25" s="32"/>
      <c r="G25" s="32"/>
      <c r="H25" s="32"/>
      <c r="I25" s="34"/>
      <c r="J25" s="31"/>
      <c r="K25" s="35"/>
      <c r="L25" s="36"/>
      <c r="M25" s="37"/>
      <c r="N25" s="172"/>
      <c r="Q25" s="38"/>
      <c r="U25" s="2" t="s">
        <v>469</v>
      </c>
    </row>
    <row r="26" spans="1:23" x14ac:dyDescent="0.25">
      <c r="A26" s="29"/>
      <c r="B26" s="30"/>
      <c r="C26" s="31"/>
      <c r="D26" s="32"/>
      <c r="E26" s="33"/>
      <c r="F26" s="32"/>
      <c r="G26" s="32"/>
      <c r="H26" s="32"/>
      <c r="I26" s="34"/>
      <c r="J26" s="31"/>
      <c r="K26" s="35"/>
      <c r="L26" s="36"/>
      <c r="M26" s="37"/>
      <c r="N26" s="172"/>
      <c r="Q26" s="38"/>
    </row>
    <row r="27" spans="1:23" x14ac:dyDescent="0.25">
      <c r="A27" s="29"/>
      <c r="B27" s="30"/>
      <c r="C27" s="31"/>
      <c r="D27" s="32"/>
      <c r="E27" s="33"/>
      <c r="F27" s="32"/>
      <c r="G27" s="32"/>
      <c r="H27" s="32"/>
      <c r="I27" s="34"/>
      <c r="J27" s="31"/>
      <c r="K27" s="35"/>
      <c r="L27" s="36"/>
      <c r="M27" s="37"/>
      <c r="N27" s="172"/>
      <c r="Q27" s="38"/>
      <c r="U27" t="s">
        <v>470</v>
      </c>
    </row>
    <row r="28" spans="1:23" x14ac:dyDescent="0.25">
      <c r="A28" s="29"/>
      <c r="B28" s="30"/>
      <c r="C28" s="31"/>
      <c r="D28" s="32"/>
      <c r="E28" s="33"/>
      <c r="F28" s="32"/>
      <c r="G28" s="32"/>
      <c r="H28" s="32"/>
      <c r="I28" s="34"/>
      <c r="J28" s="31"/>
      <c r="K28" s="35"/>
      <c r="L28" s="36"/>
      <c r="M28" s="37"/>
      <c r="N28" s="172"/>
      <c r="Q28" s="38"/>
    </row>
    <row r="29" spans="1:23" x14ac:dyDescent="0.25">
      <c r="A29" s="29"/>
      <c r="B29" s="30"/>
      <c r="C29" s="31"/>
      <c r="D29" s="32"/>
      <c r="E29" s="33"/>
      <c r="F29" s="32"/>
      <c r="G29" s="32"/>
      <c r="H29" s="32"/>
      <c r="I29" s="34"/>
      <c r="J29" s="31"/>
      <c r="K29" s="35"/>
      <c r="L29" s="36"/>
      <c r="M29" s="37"/>
      <c r="N29" s="172"/>
      <c r="Q29" s="38"/>
    </row>
    <row r="30" spans="1:23" x14ac:dyDescent="0.25">
      <c r="A30" s="43"/>
      <c r="B30" s="44"/>
      <c r="C30" s="45"/>
      <c r="D30" s="46"/>
      <c r="E30" s="47"/>
      <c r="F30" s="46"/>
      <c r="G30" s="46"/>
      <c r="H30" s="46"/>
      <c r="I30" s="48"/>
      <c r="J30" s="45"/>
      <c r="K30" s="49"/>
      <c r="L30" s="50"/>
      <c r="M30" s="51"/>
      <c r="N30" s="277"/>
      <c r="O30" s="20"/>
      <c r="P30" s="20"/>
      <c r="Q30" s="39"/>
    </row>
    <row r="31" spans="1:23" ht="18" customHeight="1" x14ac:dyDescent="0.25">
      <c r="A31" s="688" t="str">
        <f>cal!$AK$7&amp;", "&amp;$V$16&amp;" "&amp;ROUND(cal!BK39,1)&amp;IF(cal!$Z$5=1," cm, ",IF(cal!$Z$5=2," in, "))&amp;$V$17&amp;" "&amp;ROUND(cal!BL39,1)&amp;IF(cal!$Z$5=1," cm, ",IF(cal!$Z$5=2," in, "))&amp;$V$18&amp;" "&amp;ROUND(cal!BM39,1)&amp;IF(cal!$Z$5=1," cm ",IF(cal!$Z$5=2," in "))&amp;$S31</f>
        <v>Briza 22 (230V), Výška 54,5 cm, Šířka 22 cm, Délka 95 cm (Typ 04)</v>
      </c>
      <c r="B31" s="689"/>
      <c r="C31" s="689"/>
      <c r="D31" s="689"/>
      <c r="E31" s="689"/>
      <c r="F31" s="689"/>
      <c r="G31" s="689"/>
      <c r="H31" s="689"/>
      <c r="I31" s="689"/>
      <c r="J31" s="689"/>
      <c r="K31" s="689"/>
      <c r="L31" s="689"/>
      <c r="M31" s="690" t="str">
        <f>$U$27</f>
        <v>Objednací kód:</v>
      </c>
      <c r="N31" s="690"/>
      <c r="O31" s="690"/>
      <c r="P31" s="690"/>
      <c r="Q31" s="691"/>
      <c r="R31" s="207"/>
      <c r="S31" s="207" t="s">
        <v>438</v>
      </c>
    </row>
    <row r="32" spans="1:23" x14ac:dyDescent="0.25">
      <c r="A32" s="29"/>
      <c r="B32" s="30"/>
      <c r="C32" s="31"/>
      <c r="D32" s="32"/>
      <c r="E32" s="33"/>
      <c r="F32" s="32"/>
      <c r="G32" s="32"/>
      <c r="H32" s="32"/>
      <c r="I32" s="34"/>
      <c r="J32" s="31"/>
      <c r="K32" s="35"/>
      <c r="L32" s="36"/>
      <c r="M32" s="37"/>
      <c r="N32" s="172"/>
      <c r="Q32" s="38"/>
    </row>
    <row r="33" spans="1:19" x14ac:dyDescent="0.25">
      <c r="A33" s="29"/>
      <c r="B33" s="30"/>
      <c r="C33" s="31"/>
      <c r="D33" s="32"/>
      <c r="E33" s="33"/>
      <c r="F33" s="32"/>
      <c r="G33" s="32"/>
      <c r="H33" s="32"/>
      <c r="I33" s="34"/>
      <c r="J33" s="31"/>
      <c r="K33" s="35"/>
      <c r="L33" s="36"/>
      <c r="M33" s="37"/>
      <c r="N33" s="172"/>
      <c r="Q33" s="38"/>
    </row>
    <row r="34" spans="1:19" x14ac:dyDescent="0.25">
      <c r="A34" s="29"/>
      <c r="B34" s="30"/>
      <c r="C34" s="31"/>
      <c r="D34" s="32"/>
      <c r="E34" s="33"/>
      <c r="F34" s="32"/>
      <c r="G34" s="32"/>
      <c r="H34" s="32"/>
      <c r="I34" s="34"/>
      <c r="J34" s="31"/>
      <c r="K34" s="35"/>
      <c r="L34" s="36"/>
      <c r="M34" s="37"/>
      <c r="N34" s="172"/>
      <c r="Q34" s="38"/>
    </row>
    <row r="35" spans="1:19" x14ac:dyDescent="0.25">
      <c r="A35" s="29"/>
      <c r="B35" s="30"/>
      <c r="C35" s="31"/>
      <c r="D35" s="32"/>
      <c r="E35" s="33"/>
      <c r="F35" s="32"/>
      <c r="G35" s="32"/>
      <c r="H35" s="32"/>
      <c r="I35" s="34"/>
      <c r="J35" s="31"/>
      <c r="K35" s="35"/>
      <c r="L35" s="36"/>
      <c r="M35" s="37"/>
      <c r="N35" s="172"/>
      <c r="Q35" s="38"/>
    </row>
    <row r="36" spans="1:19" x14ac:dyDescent="0.25">
      <c r="A36" s="29"/>
      <c r="B36" s="30"/>
      <c r="C36" s="31"/>
      <c r="D36" s="32"/>
      <c r="E36" s="33"/>
      <c r="F36" s="32"/>
      <c r="G36" s="32"/>
      <c r="H36" s="32"/>
      <c r="I36" s="34"/>
      <c r="J36" s="31"/>
      <c r="K36" s="35"/>
      <c r="L36" s="36"/>
      <c r="M36" s="37"/>
      <c r="N36" s="172"/>
      <c r="Q36" s="38"/>
    </row>
    <row r="37" spans="1:19" x14ac:dyDescent="0.25">
      <c r="A37" s="29"/>
      <c r="B37" s="30"/>
      <c r="C37" s="31"/>
      <c r="D37" s="32"/>
      <c r="E37" s="33"/>
      <c r="F37" s="32"/>
      <c r="G37" s="32"/>
      <c r="H37" s="32"/>
      <c r="I37" s="34"/>
      <c r="J37" s="31"/>
      <c r="K37" s="35"/>
      <c r="L37" s="36"/>
      <c r="M37" s="37"/>
      <c r="N37" s="172"/>
      <c r="Q37" s="38"/>
    </row>
    <row r="38" spans="1:19" x14ac:dyDescent="0.25">
      <c r="A38" s="43"/>
      <c r="B38" s="44"/>
      <c r="C38" s="45"/>
      <c r="D38" s="46"/>
      <c r="E38" s="47"/>
      <c r="F38" s="46"/>
      <c r="G38" s="46"/>
      <c r="H38" s="46"/>
      <c r="I38" s="48"/>
      <c r="J38" s="45"/>
      <c r="K38" s="49"/>
      <c r="L38" s="50"/>
      <c r="M38" s="51"/>
      <c r="N38" s="277"/>
      <c r="O38" s="20"/>
      <c r="P38" s="20"/>
      <c r="Q38" s="39"/>
    </row>
    <row r="39" spans="1:19" ht="16.899999999999999" customHeight="1" x14ac:dyDescent="0.25">
      <c r="A39" s="688" t="str">
        <f>cal!$AK$7&amp;", "&amp;$V$16&amp;" "&amp;ROUND(cal!BK47,1)&amp;IF(cal!$Z$5=1," cm, ",IF(cal!$Z$5=2," in, "))&amp;$V$17&amp;" "&amp;ROUND(cal!BL47,1)&amp;IF(cal!$Z$5=1," cm, ",IF(cal!$Z$5=2," in, "))&amp;$V$18&amp;" "&amp;ROUND(cal!BM47,1)&amp;IF(cal!$Z$5=1," cm ",IF(cal!$Z$5=2," in "))&amp;$S39</f>
        <v>Briza 22 (230V), Výška 54,5 cm, Šířka 22 cm, Délka 125 cm (Typ 06)</v>
      </c>
      <c r="B39" s="689"/>
      <c r="C39" s="689"/>
      <c r="D39" s="689"/>
      <c r="E39" s="689"/>
      <c r="F39" s="689"/>
      <c r="G39" s="689"/>
      <c r="H39" s="689"/>
      <c r="I39" s="689"/>
      <c r="J39" s="689"/>
      <c r="K39" s="689"/>
      <c r="L39" s="689"/>
      <c r="M39" s="690" t="str">
        <f>$U$27</f>
        <v>Objednací kód:</v>
      </c>
      <c r="N39" s="690"/>
      <c r="O39" s="690"/>
      <c r="P39" s="690"/>
      <c r="Q39" s="691"/>
      <c r="R39" s="207"/>
      <c r="S39" s="207" t="s">
        <v>439</v>
      </c>
    </row>
    <row r="40" spans="1:19" x14ac:dyDescent="0.25">
      <c r="A40" s="29"/>
      <c r="B40" s="30"/>
      <c r="C40" s="31"/>
      <c r="D40" s="32"/>
      <c r="E40" s="33"/>
      <c r="F40" s="32"/>
      <c r="G40" s="32"/>
      <c r="H40" s="32"/>
      <c r="I40" s="34"/>
      <c r="J40" s="31"/>
      <c r="K40" s="35"/>
      <c r="L40" s="36"/>
      <c r="M40" s="37"/>
      <c r="N40" s="172"/>
      <c r="Q40" s="38"/>
    </row>
    <row r="41" spans="1:19" x14ac:dyDescent="0.25">
      <c r="A41" s="29"/>
      <c r="B41" s="30"/>
      <c r="C41" s="31"/>
      <c r="D41" s="32"/>
      <c r="E41" s="33"/>
      <c r="F41" s="32"/>
      <c r="G41" s="32"/>
      <c r="H41" s="32"/>
      <c r="I41" s="34"/>
      <c r="J41" s="31"/>
      <c r="K41" s="35"/>
      <c r="L41" s="36"/>
      <c r="M41" s="37"/>
      <c r="N41" s="172"/>
      <c r="Q41" s="38"/>
    </row>
    <row r="42" spans="1:19" x14ac:dyDescent="0.25">
      <c r="A42" s="29"/>
      <c r="B42" s="30"/>
      <c r="C42" s="31"/>
      <c r="D42" s="32"/>
      <c r="E42" s="33"/>
      <c r="F42" s="32"/>
      <c r="G42" s="32"/>
      <c r="H42" s="32"/>
      <c r="I42" s="34"/>
      <c r="J42" s="31"/>
      <c r="K42" s="35"/>
      <c r="L42" s="36"/>
      <c r="M42" s="37"/>
      <c r="N42" s="172"/>
      <c r="Q42" s="38"/>
    </row>
    <row r="43" spans="1:19" x14ac:dyDescent="0.25">
      <c r="A43" s="29"/>
      <c r="B43" s="30"/>
      <c r="C43" s="31"/>
      <c r="D43" s="32"/>
      <c r="E43" s="33"/>
      <c r="F43" s="32"/>
      <c r="G43" s="32"/>
      <c r="H43" s="32"/>
      <c r="I43" s="34"/>
      <c r="J43" s="31"/>
      <c r="K43" s="35"/>
      <c r="L43" s="36"/>
      <c r="M43" s="37"/>
      <c r="N43" s="172"/>
      <c r="Q43" s="38"/>
    </row>
    <row r="44" spans="1:19" x14ac:dyDescent="0.25">
      <c r="A44" s="29"/>
      <c r="B44" s="30"/>
      <c r="C44" s="31"/>
      <c r="D44" s="32"/>
      <c r="E44" s="33"/>
      <c r="F44" s="32"/>
      <c r="G44" s="32"/>
      <c r="H44" s="32"/>
      <c r="I44" s="34"/>
      <c r="J44" s="31"/>
      <c r="K44" s="35"/>
      <c r="L44" s="36"/>
      <c r="M44" s="37"/>
      <c r="N44" s="172"/>
      <c r="Q44" s="38"/>
    </row>
    <row r="45" spans="1:19" x14ac:dyDescent="0.25">
      <c r="A45" s="29"/>
      <c r="B45" s="30"/>
      <c r="C45" s="31"/>
      <c r="D45" s="32"/>
      <c r="E45" s="33"/>
      <c r="F45" s="32"/>
      <c r="G45" s="32"/>
      <c r="H45" s="32"/>
      <c r="I45" s="34"/>
      <c r="J45" s="31"/>
      <c r="K45" s="35"/>
      <c r="L45" s="36"/>
      <c r="M45" s="37"/>
      <c r="N45" s="172"/>
      <c r="Q45" s="38"/>
    </row>
    <row r="46" spans="1:19" x14ac:dyDescent="0.25">
      <c r="A46" s="43"/>
      <c r="B46" s="44"/>
      <c r="C46" s="45"/>
      <c r="D46" s="46"/>
      <c r="E46" s="47"/>
      <c r="F46" s="46"/>
      <c r="G46" s="46"/>
      <c r="H46" s="46"/>
      <c r="I46" s="48"/>
      <c r="J46" s="45"/>
      <c r="K46" s="49"/>
      <c r="L46" s="50"/>
      <c r="M46" s="51"/>
      <c r="N46" s="277"/>
      <c r="O46" s="20"/>
      <c r="P46" s="20"/>
      <c r="Q46" s="39"/>
    </row>
    <row r="47" spans="1:19" x14ac:dyDescent="0.25">
      <c r="A47" s="688" t="str">
        <f>cal!$AK$7&amp;", "&amp;$V$16&amp;" "&amp;ROUND(cal!BK55,1)&amp;IF(cal!$Z$5=1," cm, ",IF(cal!$Z$5=2," in, "))&amp;$V$17&amp;" "&amp;ROUND(cal!BL55,1)&amp;IF(cal!$Z$5=1," cm, ",IF(cal!$Z$5=2," in, "))&amp;$V$18&amp;" "&amp;ROUND(cal!BM55,1)&amp;IF(cal!$Z$5=1," cm ",IF(cal!$Z$5=2," in "))&amp;$S47</f>
        <v>Briza 22 (230V), Výška 54,5 cm, Šířka 22 cm, Délka 155 cm (Typ 08)</v>
      </c>
      <c r="B47" s="689"/>
      <c r="C47" s="689"/>
      <c r="D47" s="689"/>
      <c r="E47" s="689"/>
      <c r="F47" s="689"/>
      <c r="G47" s="689"/>
      <c r="H47" s="689"/>
      <c r="I47" s="689"/>
      <c r="J47" s="689"/>
      <c r="K47" s="689"/>
      <c r="L47" s="689"/>
      <c r="M47" s="690" t="str">
        <f>$U$27</f>
        <v>Objednací kód:</v>
      </c>
      <c r="N47" s="690"/>
      <c r="O47" s="690"/>
      <c r="P47" s="690"/>
      <c r="Q47" s="691"/>
      <c r="R47" s="207"/>
      <c r="S47" s="207" t="s">
        <v>440</v>
      </c>
    </row>
    <row r="48" spans="1:19" x14ac:dyDescent="0.25">
      <c r="A48" s="29"/>
      <c r="B48" s="30"/>
      <c r="C48" s="31"/>
      <c r="D48" s="32"/>
      <c r="E48" s="33"/>
      <c r="F48" s="32"/>
      <c r="G48" s="32"/>
      <c r="H48" s="32"/>
      <c r="I48" s="34"/>
      <c r="J48" s="31"/>
      <c r="K48" s="35"/>
      <c r="L48" s="36"/>
      <c r="M48" s="37"/>
      <c r="N48" s="172"/>
      <c r="Q48" s="38"/>
    </row>
    <row r="49" spans="1:19" x14ac:dyDescent="0.25">
      <c r="A49" s="29"/>
      <c r="B49" s="30"/>
      <c r="C49" s="31"/>
      <c r="D49" s="32"/>
      <c r="E49" s="33"/>
      <c r="F49" s="32"/>
      <c r="G49" s="32"/>
      <c r="H49" s="32"/>
      <c r="I49" s="34"/>
      <c r="J49" s="31"/>
      <c r="K49" s="35"/>
      <c r="L49" s="36"/>
      <c r="M49" s="37"/>
      <c r="N49" s="172"/>
      <c r="Q49" s="38"/>
    </row>
    <row r="50" spans="1:19" x14ac:dyDescent="0.25">
      <c r="A50" s="29"/>
      <c r="B50" s="30"/>
      <c r="C50" s="31"/>
      <c r="D50" s="32"/>
      <c r="E50" s="33"/>
      <c r="F50" s="32"/>
      <c r="G50" s="32"/>
      <c r="H50" s="32"/>
      <c r="I50" s="34"/>
      <c r="J50" s="31"/>
      <c r="K50" s="35"/>
      <c r="L50" s="36"/>
      <c r="M50" s="37"/>
      <c r="N50" s="172"/>
      <c r="Q50" s="38"/>
    </row>
    <row r="51" spans="1:19" x14ac:dyDescent="0.25">
      <c r="A51" s="29"/>
      <c r="B51" s="30"/>
      <c r="C51" s="31"/>
      <c r="D51" s="32"/>
      <c r="E51" s="33"/>
      <c r="F51" s="32"/>
      <c r="G51" s="32"/>
      <c r="H51" s="32"/>
      <c r="I51" s="34"/>
      <c r="J51" s="31"/>
      <c r="K51" s="35"/>
      <c r="L51" s="36"/>
      <c r="M51" s="37"/>
      <c r="N51" s="172"/>
      <c r="Q51" s="38"/>
    </row>
    <row r="52" spans="1:19" x14ac:dyDescent="0.25">
      <c r="A52" s="29"/>
      <c r="B52" s="30"/>
      <c r="C52" s="31"/>
      <c r="D52" s="32"/>
      <c r="E52" s="33"/>
      <c r="F52" s="32"/>
      <c r="G52" s="32"/>
      <c r="H52" s="32"/>
      <c r="I52" s="34"/>
      <c r="J52" s="31"/>
      <c r="K52" s="35"/>
      <c r="L52" s="36"/>
      <c r="M52" s="37"/>
      <c r="N52" s="172"/>
      <c r="Q52" s="38"/>
    </row>
    <row r="53" spans="1:19" x14ac:dyDescent="0.25">
      <c r="A53" s="29"/>
      <c r="B53" s="30"/>
      <c r="C53" s="31"/>
      <c r="D53" s="32"/>
      <c r="E53" s="33"/>
      <c r="F53" s="32"/>
      <c r="G53" s="32"/>
      <c r="H53" s="32"/>
      <c r="I53" s="34"/>
      <c r="J53" s="31"/>
      <c r="K53" s="35"/>
      <c r="L53" s="36"/>
      <c r="M53" s="37"/>
      <c r="N53" s="172"/>
      <c r="Q53" s="38"/>
    </row>
    <row r="54" spans="1:19" x14ac:dyDescent="0.25">
      <c r="A54" s="43"/>
      <c r="B54" s="44"/>
      <c r="C54" s="45"/>
      <c r="D54" s="46"/>
      <c r="E54" s="47"/>
      <c r="F54" s="46"/>
      <c r="G54" s="46"/>
      <c r="H54" s="46"/>
      <c r="I54" s="48"/>
      <c r="J54" s="45"/>
      <c r="K54" s="49"/>
      <c r="L54" s="50"/>
      <c r="M54" s="51"/>
      <c r="N54" s="277"/>
      <c r="O54" s="20"/>
      <c r="P54" s="20"/>
      <c r="Q54" s="39"/>
    </row>
    <row r="55" spans="1:19" x14ac:dyDescent="0.25">
      <c r="A55" s="688" t="str">
        <f>cal!$AK$7&amp;", "&amp;$V$16&amp;" "&amp;ROUND(cal!BK63,1)&amp;IF(cal!$Z$5=1," cm, ",IF(cal!$Z$5=2," in, "))&amp;$V$17&amp;" "&amp;ROUND(cal!BL63,1)&amp;IF(cal!$Z$5=1," cm, ",IF(cal!$Z$5=2," in, "))&amp;$V$18&amp;" "&amp;ROUND(cal!BM63,1)&amp;IF(cal!$Z$5=1," cm ",IF(cal!$Z$5=2," in "))&amp;$S55</f>
        <v>Briza 22 (230V), Výška 54,5 cm, Šířka 22 cm, Délka 190 cm (Typ 10)</v>
      </c>
      <c r="B55" s="689"/>
      <c r="C55" s="689"/>
      <c r="D55" s="689"/>
      <c r="E55" s="689"/>
      <c r="F55" s="689"/>
      <c r="G55" s="689"/>
      <c r="H55" s="689"/>
      <c r="I55" s="689"/>
      <c r="J55" s="689"/>
      <c r="K55" s="689"/>
      <c r="L55" s="689"/>
      <c r="M55" s="690" t="str">
        <f>$U$27</f>
        <v>Objednací kód:</v>
      </c>
      <c r="N55" s="690"/>
      <c r="O55" s="690"/>
      <c r="P55" s="690"/>
      <c r="Q55" s="691"/>
      <c r="R55" s="207"/>
      <c r="S55" s="207" t="s">
        <v>441</v>
      </c>
    </row>
    <row r="56" spans="1:19" x14ac:dyDescent="0.25">
      <c r="A56" s="29"/>
      <c r="B56" s="30"/>
      <c r="C56" s="31"/>
      <c r="D56" s="32"/>
      <c r="E56" s="33"/>
      <c r="F56" s="32"/>
      <c r="G56" s="32"/>
      <c r="H56" s="32"/>
      <c r="I56" s="34"/>
      <c r="J56" s="31"/>
      <c r="K56" s="35"/>
      <c r="L56" s="36"/>
      <c r="M56" s="37"/>
      <c r="N56" s="172"/>
      <c r="Q56" s="38"/>
    </row>
    <row r="57" spans="1:19" x14ac:dyDescent="0.25">
      <c r="A57" s="29"/>
      <c r="B57" s="30"/>
      <c r="C57" s="31"/>
      <c r="D57" s="32"/>
      <c r="E57" s="33"/>
      <c r="F57" s="32"/>
      <c r="G57" s="32"/>
      <c r="H57" s="32"/>
      <c r="I57" s="34"/>
      <c r="J57" s="31"/>
      <c r="K57" s="35"/>
      <c r="L57" s="36"/>
      <c r="M57" s="37"/>
      <c r="N57" s="172"/>
      <c r="Q57" s="38"/>
    </row>
    <row r="58" spans="1:19" x14ac:dyDescent="0.25">
      <c r="A58" s="29"/>
      <c r="B58" s="30"/>
      <c r="C58" s="31"/>
      <c r="D58" s="32"/>
      <c r="E58" s="33"/>
      <c r="F58" s="32"/>
      <c r="G58" s="32"/>
      <c r="H58" s="32"/>
      <c r="I58" s="34"/>
      <c r="J58" s="31"/>
      <c r="K58" s="35"/>
      <c r="L58" s="36"/>
      <c r="M58" s="37"/>
      <c r="N58" s="172"/>
      <c r="Q58" s="38"/>
    </row>
    <row r="59" spans="1:19" x14ac:dyDescent="0.25">
      <c r="A59" s="29"/>
      <c r="B59" s="30"/>
      <c r="C59" s="31"/>
      <c r="D59" s="32"/>
      <c r="E59" s="33"/>
      <c r="F59" s="32"/>
      <c r="G59" s="32"/>
      <c r="H59" s="32"/>
      <c r="I59" s="34"/>
      <c r="J59" s="31"/>
      <c r="K59" s="35"/>
      <c r="L59" s="36"/>
      <c r="M59" s="37"/>
      <c r="N59" s="172"/>
      <c r="Q59" s="38"/>
    </row>
    <row r="60" spans="1:19" x14ac:dyDescent="0.25">
      <c r="A60" s="29"/>
      <c r="B60" s="30"/>
      <c r="C60" s="31"/>
      <c r="D60" s="32"/>
      <c r="E60" s="33"/>
      <c r="F60" s="32"/>
      <c r="G60" s="32"/>
      <c r="H60" s="32"/>
      <c r="I60" s="34"/>
      <c r="J60" s="31"/>
      <c r="K60" s="35"/>
      <c r="L60" s="36"/>
      <c r="M60" s="37"/>
      <c r="N60" s="172"/>
      <c r="Q60" s="38"/>
    </row>
    <row r="61" spans="1:19" x14ac:dyDescent="0.25">
      <c r="A61" s="29"/>
      <c r="B61" s="30"/>
      <c r="C61" s="31"/>
      <c r="D61" s="32"/>
      <c r="E61" s="33"/>
      <c r="F61" s="32"/>
      <c r="G61" s="32"/>
      <c r="H61" s="32"/>
      <c r="I61" s="34"/>
      <c r="J61" s="31"/>
      <c r="K61" s="35"/>
      <c r="L61" s="36"/>
      <c r="M61" s="37"/>
      <c r="N61" s="172"/>
      <c r="Q61" s="38"/>
    </row>
    <row r="62" spans="1:19" x14ac:dyDescent="0.25">
      <c r="A62" s="43"/>
      <c r="B62" s="44"/>
      <c r="C62" s="45"/>
      <c r="D62" s="46"/>
      <c r="E62" s="47"/>
      <c r="F62" s="46"/>
      <c r="G62" s="46"/>
      <c r="H62" s="46"/>
      <c r="I62" s="48"/>
      <c r="J62" s="45"/>
      <c r="K62" s="49"/>
      <c r="L62" s="50"/>
      <c r="M62" s="51"/>
      <c r="N62" s="277"/>
      <c r="O62" s="20"/>
      <c r="P62" s="20"/>
      <c r="Q62" s="39"/>
    </row>
    <row r="63" spans="1:19" ht="9.4" customHeight="1" x14ac:dyDescent="0.25">
      <c r="A63" s="40" t="s">
        <v>474</v>
      </c>
      <c r="L63" s="41"/>
      <c r="M63" s="42"/>
      <c r="N63" s="42"/>
      <c r="Q63" s="42">
        <f>cal!Q63</f>
        <v>0</v>
      </c>
      <c r="R63" s="42"/>
      <c r="S63" s="42"/>
    </row>
    <row r="64" spans="1:19" ht="9.4" customHeight="1" x14ac:dyDescent="0.25">
      <c r="A64" s="40" t="s">
        <v>475</v>
      </c>
    </row>
    <row r="65" spans="1:1" ht="9.4" customHeight="1" x14ac:dyDescent="0.25">
      <c r="A65" s="40" t="s">
        <v>476</v>
      </c>
    </row>
    <row r="66" spans="1:1" ht="9.4" customHeight="1" x14ac:dyDescent="0.25">
      <c r="A66" s="40" t="s">
        <v>477</v>
      </c>
    </row>
  </sheetData>
  <sheetProtection selectLockedCells="1"/>
  <mergeCells count="27">
    <mergeCell ref="S7:T7"/>
    <mergeCell ref="A10:C10"/>
    <mergeCell ref="G3:J3"/>
    <mergeCell ref="G4:J4"/>
    <mergeCell ref="L6:M6"/>
    <mergeCell ref="L7:M7"/>
    <mergeCell ref="Q7:R7"/>
    <mergeCell ref="A8:C8"/>
    <mergeCell ref="F8:I8"/>
    <mergeCell ref="Q8:R10"/>
    <mergeCell ref="A9:C9"/>
    <mergeCell ref="F9:I9"/>
    <mergeCell ref="L9:M9"/>
    <mergeCell ref="F10:I10"/>
    <mergeCell ref="L10:M10"/>
    <mergeCell ref="A15:L15"/>
    <mergeCell ref="M15:Q15"/>
    <mergeCell ref="A23:L23"/>
    <mergeCell ref="M23:Q23"/>
    <mergeCell ref="A31:L31"/>
    <mergeCell ref="M31:Q31"/>
    <mergeCell ref="A39:L39"/>
    <mergeCell ref="M39:Q39"/>
    <mergeCell ref="A47:L47"/>
    <mergeCell ref="M47:Q47"/>
    <mergeCell ref="A55:L55"/>
    <mergeCell ref="M55:Q55"/>
  </mergeCells>
  <dataValidations count="7">
    <dataValidation type="decimal" errorStyle="information" allowBlank="1" showErrorMessage="1" error="Eingabe außerhalb des gültigen Bereichs." prompt="20°C bis 35°C" sqref="J11" xr:uid="{00000000-0002-0000-0900-000000000000}">
      <formula1>0.01</formula1>
      <formula2>1</formula2>
    </dataValidation>
    <dataValidation type="whole" errorStyle="information" allowBlank="1" showErrorMessage="1" error="Eingabe außerhalb des gültigen Bereichs." prompt="Eingabe zwischen 5°C bis 20°C" sqref="J8" xr:uid="{00000000-0002-0000-0900-000001000000}">
      <formula1>5</formula1>
      <formula2>20</formula2>
    </dataValidation>
    <dataValidation type="whole" errorStyle="information" allowBlank="1" showErrorMessage="1" error="Eingabe außerhalb des gültigen Bereichs." prompt="Eingabe zwischen Vorlauftemp. und Raumtemp." sqref="J9" xr:uid="{00000000-0002-0000-0900-000002000000}">
      <formula1>J8</formula1>
      <formula2>J10</formula2>
    </dataValidation>
    <dataValidation type="whole" errorStyle="information" allowBlank="1" showErrorMessage="1" error="Temperatur außerhalb des gütligen Bereichs." prompt="Eingabe zwischen 30°C bis 95°C" sqref="D8" xr:uid="{00000000-0002-0000-0900-000003000000}">
      <formula1>30</formula1>
      <formula2>95</formula2>
    </dataValidation>
    <dataValidation type="whole" errorStyle="information" allowBlank="1" showErrorMessage="1" error="Eingabe außerhalb des gültigen Bereichs." prompt="Eingabe zwischen Vorlauftemp. und Raumtemp." sqref="D9" xr:uid="{00000000-0002-0000-0900-000004000000}">
      <formula1>D10</formula1>
      <formula2>D8</formula2>
    </dataValidation>
    <dataValidation type="whole" errorStyle="information" allowBlank="1" showErrorMessage="1" error="Eingabe außerhalb des gültigen Bereichs." prompt="Eingabe zwischen 16°C bis 30°C" sqref="D10" xr:uid="{00000000-0002-0000-0900-000005000000}">
      <formula1>16</formula1>
      <formula2>30</formula2>
    </dataValidation>
    <dataValidation type="whole" errorStyle="information" allowBlank="1" showErrorMessage="1" error="Eingabe außerhalb des gültigen Bereichs." prompt="20°C bis 35°C" sqref="J10" xr:uid="{00000000-0002-0000-0900-000006000000}">
      <formula1>20</formula1>
      <formula2>35</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EN2"/>
  <dimension ref="A1:W66"/>
  <sheetViews>
    <sheetView workbookViewId="0">
      <selection activeCell="K2" sqref="K2:M2"/>
    </sheetView>
  </sheetViews>
  <sheetFormatPr defaultColWidth="9.140625" defaultRowHeight="15" x14ac:dyDescent="0.25"/>
  <cols>
    <col min="1" max="1" width="7" style="2" customWidth="1"/>
    <col min="2" max="2" width="6.140625" style="2" customWidth="1"/>
    <col min="3" max="3" width="7" style="2" customWidth="1"/>
    <col min="4" max="4" width="6.7109375" style="2" customWidth="1"/>
    <col min="5" max="19" width="7" style="2" customWidth="1"/>
    <col min="20" max="16384" width="9.140625" style="2"/>
  </cols>
  <sheetData>
    <row r="1" spans="1:23" x14ac:dyDescent="0.25">
      <c r="A1" s="1"/>
    </row>
    <row r="2" spans="1:23" x14ac:dyDescent="0.25">
      <c r="A2" s="3" t="s">
        <v>26</v>
      </c>
      <c r="B2" s="4"/>
    </row>
    <row r="3" spans="1:23" x14ac:dyDescent="0.25">
      <c r="A3" s="1"/>
      <c r="G3" s="684" t="s">
        <v>170</v>
      </c>
      <c r="H3" s="622">
        <v>0</v>
      </c>
      <c r="I3" s="622">
        <v>0</v>
      </c>
      <c r="J3" s="623">
        <v>0</v>
      </c>
    </row>
    <row r="4" spans="1:23" x14ac:dyDescent="0.25">
      <c r="A4" s="5" t="s">
        <v>24</v>
      </c>
      <c r="G4" s="684" t="s">
        <v>112</v>
      </c>
      <c r="H4" s="622">
        <v>0</v>
      </c>
      <c r="I4" s="622">
        <v>0</v>
      </c>
      <c r="J4" s="623">
        <v>0</v>
      </c>
    </row>
    <row r="5" spans="1:23" ht="6" customHeight="1" thickBot="1" x14ac:dyDescent="0.3">
      <c r="A5" s="6"/>
      <c r="B5" s="7"/>
      <c r="C5" s="7"/>
      <c r="D5" s="7"/>
      <c r="E5" s="7"/>
      <c r="F5" s="7"/>
      <c r="G5" s="7"/>
      <c r="H5" s="7"/>
      <c r="I5" s="7"/>
      <c r="J5" s="7"/>
      <c r="K5" s="7"/>
      <c r="L5" s="7"/>
      <c r="M5" s="7"/>
      <c r="N5" s="7"/>
      <c r="O5" s="7"/>
      <c r="P5" s="7"/>
      <c r="Q5" s="8"/>
      <c r="R5" s="10"/>
      <c r="S5" s="10"/>
    </row>
    <row r="6" spans="1:23" ht="15.75" thickBot="1" x14ac:dyDescent="0.3">
      <c r="A6" s="9" t="s">
        <v>16</v>
      </c>
      <c r="B6" s="10"/>
      <c r="C6" s="10"/>
      <c r="D6" s="10"/>
      <c r="E6" s="10"/>
      <c r="F6" s="10"/>
      <c r="G6" s="10"/>
      <c r="H6" s="10"/>
      <c r="I6" s="10"/>
      <c r="J6" s="10"/>
      <c r="K6" s="10"/>
      <c r="L6" s="686" t="s">
        <v>188</v>
      </c>
      <c r="M6" s="687"/>
      <c r="N6" s="274"/>
      <c r="O6" s="10"/>
      <c r="P6" s="10"/>
      <c r="Q6" s="11"/>
      <c r="R6" s="10"/>
      <c r="S6" s="10"/>
    </row>
    <row r="7" spans="1:23" ht="15.75" thickBot="1" x14ac:dyDescent="0.3">
      <c r="A7" s="9" t="s">
        <v>17</v>
      </c>
      <c r="B7" s="10"/>
      <c r="C7" s="10"/>
      <c r="D7" s="10"/>
      <c r="E7" s="10"/>
      <c r="F7" s="12" t="s">
        <v>18</v>
      </c>
      <c r="G7" s="12"/>
      <c r="H7" s="12"/>
      <c r="I7" s="10"/>
      <c r="J7" s="10"/>
      <c r="K7" s="10"/>
      <c r="L7" s="636"/>
      <c r="M7" s="637"/>
      <c r="N7" s="275"/>
      <c r="O7" s="10"/>
      <c r="P7" s="10"/>
      <c r="Q7" s="552" t="s">
        <v>196</v>
      </c>
      <c r="R7" s="553"/>
      <c r="S7" s="552" t="s">
        <v>308</v>
      </c>
      <c r="T7" s="553"/>
    </row>
    <row r="8" spans="1:23" ht="15.75" thickBot="1" x14ac:dyDescent="0.3">
      <c r="A8" s="685" t="s">
        <v>177</v>
      </c>
      <c r="B8" s="613"/>
      <c r="C8" s="613"/>
      <c r="D8" s="13">
        <f>cal!E10</f>
        <v>65</v>
      </c>
      <c r="E8" s="52" t="str">
        <f>IF(cal!$Z$5=1,"°C",IF(cal!$Z$5=2,"°F"))</f>
        <v>°C</v>
      </c>
      <c r="F8" s="613" t="str">
        <f>A8</f>
        <v>Supply water</v>
      </c>
      <c r="G8" s="613"/>
      <c r="H8" s="613"/>
      <c r="I8" s="613"/>
      <c r="J8" s="13">
        <f>cal!K10</f>
        <v>16</v>
      </c>
      <c r="K8" s="10" t="str">
        <f>E8</f>
        <v>°C</v>
      </c>
      <c r="L8" s="10"/>
      <c r="M8" s="10"/>
      <c r="N8" s="10"/>
      <c r="O8" s="10"/>
      <c r="P8" s="10"/>
      <c r="Q8" s="643"/>
      <c r="R8" s="644"/>
      <c r="S8" s="10"/>
    </row>
    <row r="9" spans="1:23" ht="15.75" thickBot="1" x14ac:dyDescent="0.3">
      <c r="A9" s="685" t="s">
        <v>178</v>
      </c>
      <c r="B9" s="613"/>
      <c r="C9" s="613"/>
      <c r="D9" s="13">
        <f>cal!E11</f>
        <v>55</v>
      </c>
      <c r="E9" s="52" t="str">
        <f>E8</f>
        <v>°C</v>
      </c>
      <c r="F9" s="613" t="str">
        <f>A9</f>
        <v>Return water</v>
      </c>
      <c r="G9" s="613"/>
      <c r="H9" s="613"/>
      <c r="I9" s="614"/>
      <c r="J9" s="13">
        <f>cal!K11</f>
        <v>18</v>
      </c>
      <c r="K9" s="10" t="str">
        <f>E8</f>
        <v>°C</v>
      </c>
      <c r="L9" s="686" t="s">
        <v>185</v>
      </c>
      <c r="M9" s="687"/>
      <c r="N9" s="274"/>
      <c r="O9" s="10"/>
      <c r="P9" s="10"/>
      <c r="Q9" s="645"/>
      <c r="R9" s="646"/>
      <c r="S9" s="10"/>
    </row>
    <row r="10" spans="1:23" ht="15.75" thickBot="1" x14ac:dyDescent="0.3">
      <c r="A10" s="262" t="s">
        <v>179</v>
      </c>
      <c r="B10" s="263"/>
      <c r="C10" s="263"/>
      <c r="D10" s="13">
        <f>cal!E12</f>
        <v>20</v>
      </c>
      <c r="E10" s="52" t="str">
        <f>E8</f>
        <v>°C</v>
      </c>
      <c r="F10" s="613" t="str">
        <f>A10</f>
        <v>Entering air (dry bulb)</v>
      </c>
      <c r="G10" s="613"/>
      <c r="H10" s="613"/>
      <c r="I10" s="614"/>
      <c r="J10" s="13">
        <f>cal!K12</f>
        <v>27</v>
      </c>
      <c r="K10" s="10" t="str">
        <f>E8</f>
        <v>°C</v>
      </c>
      <c r="L10" s="641"/>
      <c r="M10" s="642"/>
      <c r="N10" s="276"/>
      <c r="O10" s="10"/>
      <c r="P10" s="10"/>
      <c r="Q10" s="645"/>
      <c r="R10" s="646"/>
      <c r="S10" s="10"/>
      <c r="U10" s="2" t="s">
        <v>323</v>
      </c>
    </row>
    <row r="11" spans="1:23" x14ac:dyDescent="0.25">
      <c r="A11" s="262" t="s">
        <v>181</v>
      </c>
      <c r="B11" s="263"/>
      <c r="C11" s="263"/>
      <c r="D11" s="10"/>
      <c r="E11" s="10"/>
      <c r="F11" s="10" t="s">
        <v>141</v>
      </c>
      <c r="G11" s="10"/>
      <c r="H11" s="10"/>
      <c r="I11" s="10"/>
      <c r="J11" s="15">
        <f>cal!K14</f>
        <v>0.5</v>
      </c>
      <c r="K11" s="10"/>
      <c r="L11" s="10"/>
      <c r="M11" s="10"/>
      <c r="N11" s="10"/>
      <c r="O11" s="10"/>
      <c r="P11" s="10"/>
      <c r="Q11" s="11"/>
      <c r="R11" s="10"/>
      <c r="S11" s="10"/>
      <c r="U11" s="2" t="s">
        <v>324</v>
      </c>
    </row>
    <row r="12" spans="1:23" ht="6" customHeight="1" x14ac:dyDescent="0.25">
      <c r="A12" s="16"/>
      <c r="B12" s="17"/>
      <c r="C12" s="17"/>
      <c r="D12" s="17"/>
      <c r="E12" s="18"/>
      <c r="F12" s="18"/>
      <c r="G12" s="18"/>
      <c r="H12" s="18"/>
      <c r="I12" s="18"/>
      <c r="J12" s="18"/>
      <c r="K12" s="18"/>
      <c r="L12" s="18"/>
      <c r="M12" s="18"/>
      <c r="N12" s="18"/>
      <c r="O12" s="18"/>
      <c r="P12" s="18"/>
      <c r="Q12" s="19"/>
      <c r="R12" s="10"/>
      <c r="S12" s="10"/>
    </row>
    <row r="13" spans="1:23" x14ac:dyDescent="0.25">
      <c r="A13" s="20"/>
      <c r="B13" s="20"/>
      <c r="C13" s="20"/>
      <c r="D13" s="20"/>
      <c r="E13" s="20"/>
      <c r="F13" s="20"/>
      <c r="G13" s="20"/>
      <c r="H13" s="20"/>
      <c r="I13" s="20"/>
      <c r="J13" s="20"/>
      <c r="K13" s="20"/>
      <c r="L13" s="20"/>
      <c r="M13" s="20"/>
    </row>
    <row r="14" spans="1:23" s="28" customFormat="1" ht="95.45" customHeight="1" x14ac:dyDescent="0.25">
      <c r="A14" s="21" t="s">
        <v>372</v>
      </c>
      <c r="B14" s="22" t="s">
        <v>19</v>
      </c>
      <c r="C14" s="21" t="str">
        <f>CONCATENATE("Heat output * ",ROUND(D8,0),"/",ROUND(D9,0),"/",ROUND(D10,0)," ["&amp;IF(cal!$Z$5=1,"W",IF(cal!$Z$5=2,"Btu/h"))&amp;"]")</f>
        <v>Heat output * 65/55/20 [W]</v>
      </c>
      <c r="D14" s="23" t="str">
        <f>"Water flowrate, heating ["&amp;IF(cal!$Z$5=1,"l/h",IF(cal!$Z$5=2,"GPM"))&amp;"]"</f>
        <v>Water flowrate, heating [l/h]</v>
      </c>
      <c r="E14" s="24" t="str">
        <f>"Water side pressure loss ["&amp;IF(cal!$Z$5=1,"kPa",IF(cal!$Z$5=2,"ftH2O"))&amp;"]"</f>
        <v>Water side pressure loss [kPa]</v>
      </c>
      <c r="F14" s="22" t="str">
        <f>CONCATENATE("Sens. cooling capacity * ",ROUND(J8,0),"/",ROUND(J9,0),"/",ROUND(J10,0)," ["&amp;IF(cal!$Z$5=1,"W",IF(cal!$Z$5=2,"Btu/h"))&amp;"]")</f>
        <v>Sens. cooling capacity * 16/18/27 [W]</v>
      </c>
      <c r="G14" s="22" t="str">
        <f>CONCATENATE("Tot. cooling capacity ",ROUND(J8,0),"/",ROUND(J9,0),"/",ROUND(J10,0)," ["&amp;IF(cal!$Z$5=1,"W",IF(cal!$Z$5=2,"Btu/h"))&amp;"]")</f>
        <v>Tot. cooling capacity 16/18/27 [W]</v>
      </c>
      <c r="H14" s="22" t="str">
        <f>"Water flowrate, cooling ["&amp;IF(cal!$Z$5=1,"l/h",IF(cal!$Z$5=2,"GPM"))&amp;"]"</f>
        <v>Water flowrate, cooling [l/h]</v>
      </c>
      <c r="I14" s="25" t="str">
        <f>E14</f>
        <v>Water side pressure loss [kPa]</v>
      </c>
      <c r="J14" s="21" t="s">
        <v>20</v>
      </c>
      <c r="K14" s="26" t="s">
        <v>36</v>
      </c>
      <c r="L14" s="22" t="s">
        <v>21</v>
      </c>
      <c r="M14" s="27" t="str">
        <f>"Air flowrate ["&amp;IF(cal!$Z$5=1,"m³/h",IF(cal!$Z$5=2,"CFM"))&amp;"]"</f>
        <v>Air flowrate [m³/h]</v>
      </c>
      <c r="N14" s="27" t="str">
        <f>"Face velocity ["&amp;IF(cal!$Z$5=1,"m/s",IF(cal!$Z$5=2,"ft/min"))&amp;"]"</f>
        <v>Face velocity [m/s]</v>
      </c>
      <c r="O14" s="209" t="str">
        <f>"Air exhaust temp. heating ["&amp;IF(cal!$Z$5=1,"°C",IF(cal!$Z$5=2,"°F"))&amp;"]"</f>
        <v>Air exhaust temp. heating [°C]</v>
      </c>
      <c r="P14" s="209" t="str">
        <f>"Air exhaust temp. heating (wet bulb) ["&amp;IF(cal!$Z$5=1,"°C",IF(cal!$Z$5=2,"°F"))&amp;"]"</f>
        <v>Air exhaust temp. heating (wet bulb) [°C]</v>
      </c>
      <c r="Q14" s="210" t="str">
        <f>"Air exhaust temp. cooling (dry bulb) ["&amp;IF(cal!$Z$5=1,"°C",IF(cal!$Z$5=2,"°F"))&amp;"]"</f>
        <v>Air exhaust temp. cooling (dry bulb) [°C]</v>
      </c>
      <c r="R14" s="210" t="str">
        <f>"Air exhaust temp. cooling (wet bulb) ["&amp;IF(cal!$Z$5=1,"°C",IF(cal!$Z$5=2,"°F"))&amp;"]"</f>
        <v>Air exhaust temp. cooling (wet bulb) [°C]</v>
      </c>
      <c r="S14" s="211" t="s">
        <v>133</v>
      </c>
      <c r="T14" s="211" t="s">
        <v>298</v>
      </c>
      <c r="U14" s="28" t="s">
        <v>359</v>
      </c>
    </row>
    <row r="15" spans="1:23" ht="18" customHeight="1" x14ac:dyDescent="0.25">
      <c r="A15" s="688" t="str">
        <f>cal!$AK$7&amp;" "&amp;$V$16&amp;" "&amp;ROUND(cal!BK23,1)&amp;IF(cal!$Z$5=1," cm, ",IF(cal!$Z$5=2," in, "))&amp;$V$17&amp;" "&amp;ROUND(cal!BL23,1)&amp;IF(cal!$Z$5=1," cm, ",IF(cal!$Z$5=2," in, "))&amp;$V$18&amp;" "&amp;ROUND(cal!BM23,1)&amp;IF(cal!$Z$5=1," cm ",IF(cal!$Z$5=2," in "))&amp;$S15</f>
        <v>Briza 22 (230V) height 54,5 cm, width 22 cm, length 55 cm (Type 02)</v>
      </c>
      <c r="B15" s="689"/>
      <c r="C15" s="689"/>
      <c r="D15" s="689"/>
      <c r="E15" s="689"/>
      <c r="F15" s="689"/>
      <c r="G15" s="689"/>
      <c r="H15" s="689"/>
      <c r="I15" s="689"/>
      <c r="J15" s="689"/>
      <c r="K15" s="689"/>
      <c r="L15" s="689"/>
      <c r="M15" s="690" t="str">
        <f>$U$27</f>
        <v>Order code:</v>
      </c>
      <c r="N15" s="690"/>
      <c r="O15" s="690"/>
      <c r="P15" s="690"/>
      <c r="Q15" s="691"/>
      <c r="R15" s="207"/>
      <c r="S15" s="207" t="s">
        <v>226</v>
      </c>
    </row>
    <row r="16" spans="1:23" x14ac:dyDescent="0.25">
      <c r="A16" s="29"/>
      <c r="B16" s="30"/>
      <c r="C16" s="31"/>
      <c r="D16" s="32"/>
      <c r="E16" s="33"/>
      <c r="F16" s="32"/>
      <c r="G16" s="32"/>
      <c r="H16" s="32"/>
      <c r="I16" s="34"/>
      <c r="J16" s="31"/>
      <c r="K16" s="35"/>
      <c r="L16" s="36"/>
      <c r="M16" s="37"/>
      <c r="N16" s="172"/>
      <c r="Q16" s="38"/>
      <c r="U16" s="2" t="s">
        <v>75</v>
      </c>
      <c r="V16" s="2" t="s">
        <v>235</v>
      </c>
      <c r="W16" s="517" t="s">
        <v>419</v>
      </c>
    </row>
    <row r="17" spans="1:23" x14ac:dyDescent="0.25">
      <c r="A17" s="29"/>
      <c r="B17" s="30"/>
      <c r="C17" s="31"/>
      <c r="D17" s="32"/>
      <c r="E17" s="33"/>
      <c r="F17" s="32"/>
      <c r="G17" s="32"/>
      <c r="H17" s="32"/>
      <c r="I17" s="34"/>
      <c r="J17" s="31"/>
      <c r="K17" s="35"/>
      <c r="L17" s="36"/>
      <c r="M17" s="37"/>
      <c r="N17" s="172"/>
      <c r="Q17" s="38"/>
      <c r="U17" s="2" t="s">
        <v>165</v>
      </c>
      <c r="V17" s="2" t="s">
        <v>236</v>
      </c>
      <c r="W17" s="517" t="s">
        <v>420</v>
      </c>
    </row>
    <row r="18" spans="1:23" x14ac:dyDescent="0.25">
      <c r="A18" s="29"/>
      <c r="B18" s="30"/>
      <c r="C18" s="31"/>
      <c r="D18" s="32"/>
      <c r="E18" s="33"/>
      <c r="F18" s="32"/>
      <c r="G18" s="32"/>
      <c r="H18" s="32"/>
      <c r="I18" s="34"/>
      <c r="J18" s="31"/>
      <c r="K18" s="35"/>
      <c r="L18" s="36"/>
      <c r="M18" s="37"/>
      <c r="N18" s="172"/>
      <c r="Q18" s="38"/>
      <c r="U18" s="2" t="s">
        <v>166</v>
      </c>
      <c r="V18" s="2" t="s">
        <v>237</v>
      </c>
      <c r="W18" s="517" t="s">
        <v>421</v>
      </c>
    </row>
    <row r="19" spans="1:23" x14ac:dyDescent="0.25">
      <c r="A19" s="29"/>
      <c r="B19" s="30"/>
      <c r="C19" s="31"/>
      <c r="D19" s="32"/>
      <c r="E19" s="33"/>
      <c r="F19" s="32"/>
      <c r="G19" s="32"/>
      <c r="H19" s="32"/>
      <c r="I19" s="34"/>
      <c r="J19" s="31"/>
      <c r="K19" s="35"/>
      <c r="L19" s="36"/>
      <c r="M19" s="37"/>
      <c r="N19" s="172"/>
      <c r="Q19" s="38"/>
      <c r="U19" s="2" t="s">
        <v>167</v>
      </c>
      <c r="W19" s="2" t="s">
        <v>483</v>
      </c>
    </row>
    <row r="20" spans="1:23" x14ac:dyDescent="0.25">
      <c r="A20" s="29"/>
      <c r="B20" s="30"/>
      <c r="C20" s="31"/>
      <c r="D20" s="32"/>
      <c r="E20" s="33"/>
      <c r="F20" s="32"/>
      <c r="G20" s="32"/>
      <c r="H20" s="32"/>
      <c r="I20" s="34"/>
      <c r="J20" s="31"/>
      <c r="K20" s="35"/>
      <c r="L20" s="36"/>
      <c r="M20" s="37"/>
      <c r="N20" s="172"/>
      <c r="Q20" s="38"/>
      <c r="W20" s="2" t="s">
        <v>484</v>
      </c>
    </row>
    <row r="21" spans="1:23" x14ac:dyDescent="0.25">
      <c r="A21" s="29"/>
      <c r="B21" s="30"/>
      <c r="C21" s="31"/>
      <c r="D21" s="32"/>
      <c r="E21" s="33"/>
      <c r="F21" s="32"/>
      <c r="G21" s="32"/>
      <c r="H21" s="32"/>
      <c r="I21" s="34"/>
      <c r="J21" s="31"/>
      <c r="K21" s="35"/>
      <c r="L21" s="36"/>
      <c r="M21" s="37"/>
      <c r="N21" s="172"/>
      <c r="Q21" s="38"/>
      <c r="W21" s="2" t="s">
        <v>485</v>
      </c>
    </row>
    <row r="22" spans="1:23" x14ac:dyDescent="0.25">
      <c r="A22" s="43"/>
      <c r="B22" s="44"/>
      <c r="C22" s="45"/>
      <c r="D22" s="46"/>
      <c r="E22" s="47"/>
      <c r="F22" s="46"/>
      <c r="G22" s="46"/>
      <c r="H22" s="46"/>
      <c r="I22" s="48"/>
      <c r="J22" s="45"/>
      <c r="K22" s="49"/>
      <c r="L22" s="50"/>
      <c r="M22" s="51"/>
      <c r="N22" s="277"/>
      <c r="O22" s="20"/>
      <c r="P22" s="20"/>
      <c r="Q22" s="39"/>
      <c r="U22" s="2" t="s">
        <v>335</v>
      </c>
      <c r="W22" s="2" t="s">
        <v>486</v>
      </c>
    </row>
    <row r="23" spans="1:23" ht="16.899999999999999" customHeight="1" x14ac:dyDescent="0.25">
      <c r="A23" s="688" t="str">
        <f>cal!$AK$7&amp;" "&amp;$V$16&amp;" "&amp;ROUND(cal!BK31,1)&amp;IF(cal!$Z$5=1," cm, ",IF(cal!$Z$5=2," in, "))&amp;$V$17&amp;" "&amp;ROUND(cal!BL31,1)&amp;IF(cal!$Z$5=1," cm, ",IF(cal!$Z$5=2," in, "))&amp;$V$18&amp;" "&amp;ROUND(cal!BM31,1)&amp;IF(cal!$Z$5=1," cm ",IF(cal!$Z$5=2," in "))&amp;$S23</f>
        <v>Briza 22 (230V) height 54,5 cm, width 22 cm, length 75 cm (Type 03)</v>
      </c>
      <c r="B23" s="689"/>
      <c r="C23" s="689"/>
      <c r="D23" s="689"/>
      <c r="E23" s="689"/>
      <c r="F23" s="689"/>
      <c r="G23" s="689"/>
      <c r="H23" s="689"/>
      <c r="I23" s="689"/>
      <c r="J23" s="689"/>
      <c r="K23" s="689"/>
      <c r="L23" s="689"/>
      <c r="M23" s="690" t="str">
        <f>$U$27</f>
        <v>Order code:</v>
      </c>
      <c r="N23" s="690"/>
      <c r="O23" s="690"/>
      <c r="P23" s="690"/>
      <c r="Q23" s="691"/>
      <c r="R23" s="207"/>
      <c r="S23" s="207" t="s">
        <v>227</v>
      </c>
      <c r="W23" s="2" t="s">
        <v>487</v>
      </c>
    </row>
    <row r="24" spans="1:23" x14ac:dyDescent="0.25">
      <c r="A24" s="29"/>
      <c r="B24" s="30"/>
      <c r="C24" s="31"/>
      <c r="D24" s="32"/>
      <c r="E24" s="33"/>
      <c r="F24" s="32"/>
      <c r="G24" s="32"/>
      <c r="H24" s="32"/>
      <c r="I24" s="34"/>
      <c r="J24" s="31"/>
      <c r="K24" s="35"/>
      <c r="L24" s="36"/>
      <c r="M24" s="37"/>
      <c r="N24" s="172"/>
      <c r="Q24" s="38"/>
      <c r="U24" s="2" t="s">
        <v>340</v>
      </c>
    </row>
    <row r="25" spans="1:23" x14ac:dyDescent="0.25">
      <c r="A25" s="29"/>
      <c r="B25" s="30"/>
      <c r="C25" s="31"/>
      <c r="D25" s="32"/>
      <c r="E25" s="33"/>
      <c r="F25" s="32"/>
      <c r="G25" s="32"/>
      <c r="H25" s="32"/>
      <c r="I25" s="34"/>
      <c r="J25" s="31"/>
      <c r="K25" s="35"/>
      <c r="L25" s="36"/>
      <c r="M25" s="37"/>
      <c r="N25" s="172"/>
      <c r="Q25" s="38"/>
      <c r="U25" s="2" t="s">
        <v>341</v>
      </c>
    </row>
    <row r="26" spans="1:23" x14ac:dyDescent="0.25">
      <c r="A26" s="29"/>
      <c r="B26" s="30"/>
      <c r="C26" s="31"/>
      <c r="D26" s="32"/>
      <c r="E26" s="33"/>
      <c r="F26" s="32"/>
      <c r="G26" s="32"/>
      <c r="H26" s="32"/>
      <c r="I26" s="34"/>
      <c r="J26" s="31"/>
      <c r="K26" s="35"/>
      <c r="L26" s="36"/>
      <c r="M26" s="37"/>
      <c r="N26" s="172"/>
      <c r="Q26" s="38"/>
    </row>
    <row r="27" spans="1:23" x14ac:dyDescent="0.25">
      <c r="A27" s="29"/>
      <c r="B27" s="30"/>
      <c r="C27" s="31"/>
      <c r="D27" s="32"/>
      <c r="E27" s="33"/>
      <c r="F27" s="32"/>
      <c r="G27" s="32"/>
      <c r="H27" s="32"/>
      <c r="I27" s="34"/>
      <c r="J27" s="31"/>
      <c r="K27" s="35"/>
      <c r="L27" s="36"/>
      <c r="M27" s="37"/>
      <c r="N27" s="172"/>
      <c r="Q27" s="38"/>
      <c r="U27" s="2" t="s">
        <v>353</v>
      </c>
    </row>
    <row r="28" spans="1:23" x14ac:dyDescent="0.25">
      <c r="A28" s="29"/>
      <c r="B28" s="30"/>
      <c r="C28" s="31"/>
      <c r="D28" s="32"/>
      <c r="E28" s="33"/>
      <c r="F28" s="32"/>
      <c r="G28" s="32"/>
      <c r="H28" s="32"/>
      <c r="I28" s="34"/>
      <c r="J28" s="31"/>
      <c r="K28" s="35"/>
      <c r="L28" s="36"/>
      <c r="M28" s="37"/>
      <c r="N28" s="172"/>
      <c r="Q28" s="38"/>
    </row>
    <row r="29" spans="1:23" x14ac:dyDescent="0.25">
      <c r="A29" s="29"/>
      <c r="B29" s="30"/>
      <c r="C29" s="31"/>
      <c r="D29" s="32"/>
      <c r="E29" s="33"/>
      <c r="F29" s="32"/>
      <c r="G29" s="32"/>
      <c r="H29" s="32"/>
      <c r="I29" s="34"/>
      <c r="J29" s="31"/>
      <c r="K29" s="35"/>
      <c r="L29" s="36"/>
      <c r="M29" s="37"/>
      <c r="N29" s="172"/>
      <c r="Q29" s="38"/>
    </row>
    <row r="30" spans="1:23" x14ac:dyDescent="0.25">
      <c r="A30" s="43"/>
      <c r="B30" s="44"/>
      <c r="C30" s="45"/>
      <c r="D30" s="46"/>
      <c r="E30" s="47"/>
      <c r="F30" s="46"/>
      <c r="G30" s="46"/>
      <c r="H30" s="46"/>
      <c r="I30" s="48"/>
      <c r="J30" s="45"/>
      <c r="K30" s="49"/>
      <c r="L30" s="50"/>
      <c r="M30" s="51"/>
      <c r="N30" s="277"/>
      <c r="O30" s="20"/>
      <c r="P30" s="20"/>
      <c r="Q30" s="39"/>
    </row>
    <row r="31" spans="1:23" ht="18" customHeight="1" x14ac:dyDescent="0.25">
      <c r="A31" s="688" t="str">
        <f>cal!$AK$7&amp;" "&amp;$V$16&amp;" "&amp;ROUND(cal!BK39,1)&amp;IF(cal!$Z$5=1," cm, ",IF(cal!$Z$5=2," in, "))&amp;$V$17&amp;" "&amp;ROUND(cal!BL39,1)&amp;IF(cal!$Z$5=1," cm, ",IF(cal!$Z$5=2," in, "))&amp;$V$18&amp;" "&amp;ROUND(cal!BM39,1)&amp;IF(cal!$Z$5=1," cm ",IF(cal!$Z$5=2," in "))&amp;$S31</f>
        <v>Briza 22 (230V) height 54,5 cm, width 22 cm, length 95 cm (Type 04)</v>
      </c>
      <c r="B31" s="689"/>
      <c r="C31" s="689"/>
      <c r="D31" s="689"/>
      <c r="E31" s="689"/>
      <c r="F31" s="689"/>
      <c r="G31" s="689"/>
      <c r="H31" s="689"/>
      <c r="I31" s="689"/>
      <c r="J31" s="689"/>
      <c r="K31" s="689"/>
      <c r="L31" s="689"/>
      <c r="M31" s="690" t="str">
        <f>$U$27</f>
        <v>Order code:</v>
      </c>
      <c r="N31" s="690"/>
      <c r="O31" s="690"/>
      <c r="P31" s="690"/>
      <c r="Q31" s="691"/>
      <c r="R31" s="207"/>
      <c r="S31" s="207" t="s">
        <v>228</v>
      </c>
    </row>
    <row r="32" spans="1:23" x14ac:dyDescent="0.25">
      <c r="A32" s="29"/>
      <c r="B32" s="30"/>
      <c r="C32" s="31"/>
      <c r="D32" s="32"/>
      <c r="E32" s="33"/>
      <c r="F32" s="32"/>
      <c r="G32" s="32"/>
      <c r="H32" s="32"/>
      <c r="I32" s="34"/>
      <c r="J32" s="31"/>
      <c r="K32" s="35"/>
      <c r="L32" s="36"/>
      <c r="M32" s="37"/>
      <c r="N32" s="172"/>
      <c r="Q32" s="38"/>
    </row>
    <row r="33" spans="1:19" x14ac:dyDescent="0.25">
      <c r="A33" s="29"/>
      <c r="B33" s="30"/>
      <c r="C33" s="31"/>
      <c r="D33" s="32"/>
      <c r="E33" s="33"/>
      <c r="F33" s="32"/>
      <c r="G33" s="32"/>
      <c r="H33" s="32"/>
      <c r="I33" s="34"/>
      <c r="J33" s="31"/>
      <c r="K33" s="35"/>
      <c r="L33" s="36"/>
      <c r="M33" s="37"/>
      <c r="N33" s="172"/>
      <c r="Q33" s="38"/>
    </row>
    <row r="34" spans="1:19" x14ac:dyDescent="0.25">
      <c r="A34" s="29"/>
      <c r="B34" s="30"/>
      <c r="C34" s="31"/>
      <c r="D34" s="32"/>
      <c r="E34" s="33"/>
      <c r="F34" s="32"/>
      <c r="G34" s="32"/>
      <c r="H34" s="32"/>
      <c r="I34" s="34"/>
      <c r="J34" s="31"/>
      <c r="K34" s="35"/>
      <c r="L34" s="36"/>
      <c r="M34" s="37"/>
      <c r="N34" s="172"/>
      <c r="Q34" s="38"/>
    </row>
    <row r="35" spans="1:19" x14ac:dyDescent="0.25">
      <c r="A35" s="29"/>
      <c r="B35" s="30"/>
      <c r="C35" s="31"/>
      <c r="D35" s="32"/>
      <c r="E35" s="33"/>
      <c r="F35" s="32"/>
      <c r="G35" s="32"/>
      <c r="H35" s="32"/>
      <c r="I35" s="34"/>
      <c r="J35" s="31"/>
      <c r="K35" s="35"/>
      <c r="L35" s="36"/>
      <c r="M35" s="37"/>
      <c r="N35" s="172"/>
      <c r="Q35" s="38"/>
    </row>
    <row r="36" spans="1:19" x14ac:dyDescent="0.25">
      <c r="A36" s="29"/>
      <c r="B36" s="30"/>
      <c r="C36" s="31"/>
      <c r="D36" s="32"/>
      <c r="E36" s="33"/>
      <c r="F36" s="32"/>
      <c r="G36" s="32"/>
      <c r="H36" s="32"/>
      <c r="I36" s="34"/>
      <c r="J36" s="31"/>
      <c r="K36" s="35"/>
      <c r="L36" s="36"/>
      <c r="M36" s="37"/>
      <c r="N36" s="172"/>
      <c r="Q36" s="38"/>
    </row>
    <row r="37" spans="1:19" x14ac:dyDescent="0.25">
      <c r="A37" s="29"/>
      <c r="B37" s="30"/>
      <c r="C37" s="31"/>
      <c r="D37" s="32"/>
      <c r="E37" s="33"/>
      <c r="F37" s="32"/>
      <c r="G37" s="32"/>
      <c r="H37" s="32"/>
      <c r="I37" s="34"/>
      <c r="J37" s="31"/>
      <c r="K37" s="35"/>
      <c r="L37" s="36"/>
      <c r="M37" s="37"/>
      <c r="N37" s="172"/>
      <c r="Q37" s="38"/>
    </row>
    <row r="38" spans="1:19" x14ac:dyDescent="0.25">
      <c r="A38" s="43"/>
      <c r="B38" s="44"/>
      <c r="C38" s="45"/>
      <c r="D38" s="46"/>
      <c r="E38" s="47"/>
      <c r="F38" s="46"/>
      <c r="G38" s="46"/>
      <c r="H38" s="46"/>
      <c r="I38" s="48"/>
      <c r="J38" s="45"/>
      <c r="K38" s="49"/>
      <c r="L38" s="50"/>
      <c r="M38" s="51"/>
      <c r="N38" s="277"/>
      <c r="O38" s="20"/>
      <c r="P38" s="20"/>
      <c r="Q38" s="39"/>
    </row>
    <row r="39" spans="1:19" ht="16.899999999999999" customHeight="1" x14ac:dyDescent="0.25">
      <c r="A39" s="688" t="str">
        <f>cal!$AK$7&amp;" "&amp;$V$16&amp;" "&amp;ROUND(cal!BK47,1)&amp;IF(cal!$Z$5=1," cm, ",IF(cal!$Z$5=2," in, "))&amp;$V$17&amp;" "&amp;ROUND(cal!BL47,1)&amp;IF(cal!$Z$5=1," cm, ",IF(cal!$Z$5=2," in, "))&amp;$V$18&amp;" "&amp;ROUND(cal!BM47,1)&amp;IF(cal!$Z$5=1," cm ",IF(cal!$Z$5=2," in "))&amp;$S39</f>
        <v>Briza 22 (230V) height 54,5 cm, width 22 cm, length 125 cm (Type 06)</v>
      </c>
      <c r="B39" s="689"/>
      <c r="C39" s="689"/>
      <c r="D39" s="689"/>
      <c r="E39" s="689"/>
      <c r="F39" s="689"/>
      <c r="G39" s="689"/>
      <c r="H39" s="689"/>
      <c r="I39" s="689"/>
      <c r="J39" s="689"/>
      <c r="K39" s="689"/>
      <c r="L39" s="689"/>
      <c r="M39" s="690" t="str">
        <f>$U$27</f>
        <v>Order code:</v>
      </c>
      <c r="N39" s="690"/>
      <c r="O39" s="690"/>
      <c r="P39" s="690"/>
      <c r="Q39" s="691"/>
      <c r="R39" s="207"/>
      <c r="S39" s="207" t="s">
        <v>229</v>
      </c>
    </row>
    <row r="40" spans="1:19" x14ac:dyDescent="0.25">
      <c r="A40" s="29"/>
      <c r="B40" s="30"/>
      <c r="C40" s="31"/>
      <c r="D40" s="32"/>
      <c r="E40" s="33"/>
      <c r="F40" s="32"/>
      <c r="G40" s="32"/>
      <c r="H40" s="32"/>
      <c r="I40" s="34"/>
      <c r="J40" s="31"/>
      <c r="K40" s="35"/>
      <c r="L40" s="36"/>
      <c r="M40" s="37"/>
      <c r="N40" s="172"/>
      <c r="Q40" s="38"/>
    </row>
    <row r="41" spans="1:19" x14ac:dyDescent="0.25">
      <c r="A41" s="29"/>
      <c r="B41" s="30"/>
      <c r="C41" s="31"/>
      <c r="D41" s="32"/>
      <c r="E41" s="33"/>
      <c r="F41" s="32"/>
      <c r="G41" s="32"/>
      <c r="H41" s="32"/>
      <c r="I41" s="34"/>
      <c r="J41" s="31"/>
      <c r="K41" s="35"/>
      <c r="L41" s="36"/>
      <c r="M41" s="37"/>
      <c r="N41" s="172"/>
      <c r="Q41" s="38"/>
    </row>
    <row r="42" spans="1:19" x14ac:dyDescent="0.25">
      <c r="A42" s="29"/>
      <c r="B42" s="30"/>
      <c r="C42" s="31"/>
      <c r="D42" s="32"/>
      <c r="E42" s="33"/>
      <c r="F42" s="32"/>
      <c r="G42" s="32"/>
      <c r="H42" s="32"/>
      <c r="I42" s="34"/>
      <c r="J42" s="31"/>
      <c r="K42" s="35"/>
      <c r="L42" s="36"/>
      <c r="M42" s="37"/>
      <c r="N42" s="172"/>
      <c r="Q42" s="38"/>
    </row>
    <row r="43" spans="1:19" x14ac:dyDescent="0.25">
      <c r="A43" s="29"/>
      <c r="B43" s="30"/>
      <c r="C43" s="31"/>
      <c r="D43" s="32"/>
      <c r="E43" s="33"/>
      <c r="F43" s="32"/>
      <c r="G43" s="32"/>
      <c r="H43" s="32"/>
      <c r="I43" s="34"/>
      <c r="J43" s="31"/>
      <c r="K43" s="35"/>
      <c r="L43" s="36"/>
      <c r="M43" s="37"/>
      <c r="N43" s="172"/>
      <c r="Q43" s="38"/>
    </row>
    <row r="44" spans="1:19" x14ac:dyDescent="0.25">
      <c r="A44" s="29"/>
      <c r="B44" s="30"/>
      <c r="C44" s="31"/>
      <c r="D44" s="32"/>
      <c r="E44" s="33"/>
      <c r="F44" s="32"/>
      <c r="G44" s="32"/>
      <c r="H44" s="32"/>
      <c r="I44" s="34"/>
      <c r="J44" s="31"/>
      <c r="K44" s="35"/>
      <c r="L44" s="36"/>
      <c r="M44" s="37"/>
      <c r="N44" s="172"/>
      <c r="Q44" s="38"/>
    </row>
    <row r="45" spans="1:19" x14ac:dyDescent="0.25">
      <c r="A45" s="29"/>
      <c r="B45" s="30"/>
      <c r="C45" s="31"/>
      <c r="D45" s="32"/>
      <c r="E45" s="33"/>
      <c r="F45" s="32"/>
      <c r="G45" s="32"/>
      <c r="H45" s="32"/>
      <c r="I45" s="34"/>
      <c r="J45" s="31"/>
      <c r="K45" s="35"/>
      <c r="L45" s="36"/>
      <c r="M45" s="37"/>
      <c r="N45" s="172"/>
      <c r="Q45" s="38"/>
    </row>
    <row r="46" spans="1:19" x14ac:dyDescent="0.25">
      <c r="A46" s="43"/>
      <c r="B46" s="44"/>
      <c r="C46" s="45"/>
      <c r="D46" s="46"/>
      <c r="E46" s="47"/>
      <c r="F46" s="46"/>
      <c r="G46" s="46"/>
      <c r="H46" s="46"/>
      <c r="I46" s="48"/>
      <c r="J46" s="45"/>
      <c r="K46" s="49"/>
      <c r="L46" s="50"/>
      <c r="M46" s="51"/>
      <c r="N46" s="277"/>
      <c r="O46" s="20"/>
      <c r="P46" s="20"/>
      <c r="Q46" s="39"/>
    </row>
    <row r="47" spans="1:19" x14ac:dyDescent="0.25">
      <c r="A47" s="688" t="str">
        <f>cal!$AK$7&amp;" "&amp;$V$16&amp;" "&amp;ROUND(cal!BK55,1)&amp;IF(cal!$Z$5=1," cm, ",IF(cal!$Z$5=2," in, "))&amp;$V$17&amp;" "&amp;ROUND(cal!BL55,1)&amp;IF(cal!$Z$5=1," cm, ",IF(cal!$Z$5=2," in, "))&amp;$V$18&amp;" "&amp;ROUND(cal!BM55,1)&amp;IF(cal!$Z$5=1," cm ",IF(cal!$Z$5=2," in "))&amp;$S47</f>
        <v>Briza 22 (230V) height 54,5 cm, width 22 cm, length 155 cm (Type 08)</v>
      </c>
      <c r="B47" s="689"/>
      <c r="C47" s="689"/>
      <c r="D47" s="689"/>
      <c r="E47" s="689"/>
      <c r="F47" s="689"/>
      <c r="G47" s="689"/>
      <c r="H47" s="689"/>
      <c r="I47" s="689"/>
      <c r="J47" s="689"/>
      <c r="K47" s="689"/>
      <c r="L47" s="689"/>
      <c r="M47" s="690" t="str">
        <f>$U$27</f>
        <v>Order code:</v>
      </c>
      <c r="N47" s="690"/>
      <c r="O47" s="690"/>
      <c r="P47" s="690"/>
      <c r="Q47" s="691"/>
      <c r="R47" s="207"/>
      <c r="S47" s="207" t="s">
        <v>230</v>
      </c>
    </row>
    <row r="48" spans="1:19" x14ac:dyDescent="0.25">
      <c r="A48" s="29"/>
      <c r="B48" s="30"/>
      <c r="C48" s="31"/>
      <c r="D48" s="32"/>
      <c r="E48" s="33"/>
      <c r="F48" s="32"/>
      <c r="G48" s="32"/>
      <c r="H48" s="32"/>
      <c r="I48" s="34"/>
      <c r="J48" s="31"/>
      <c r="K48" s="35"/>
      <c r="L48" s="36"/>
      <c r="M48" s="37"/>
      <c r="N48" s="172"/>
      <c r="Q48" s="38"/>
    </row>
    <row r="49" spans="1:19" x14ac:dyDescent="0.25">
      <c r="A49" s="29"/>
      <c r="B49" s="30"/>
      <c r="C49" s="31"/>
      <c r="D49" s="32"/>
      <c r="E49" s="33"/>
      <c r="F49" s="32"/>
      <c r="G49" s="32"/>
      <c r="H49" s="32"/>
      <c r="I49" s="34"/>
      <c r="J49" s="31"/>
      <c r="K49" s="35"/>
      <c r="L49" s="36"/>
      <c r="M49" s="37"/>
      <c r="N49" s="172"/>
      <c r="Q49" s="38"/>
    </row>
    <row r="50" spans="1:19" x14ac:dyDescent="0.25">
      <c r="A50" s="29"/>
      <c r="B50" s="30"/>
      <c r="C50" s="31"/>
      <c r="D50" s="32"/>
      <c r="E50" s="33"/>
      <c r="F50" s="32"/>
      <c r="G50" s="32"/>
      <c r="H50" s="32"/>
      <c r="I50" s="34"/>
      <c r="J50" s="31"/>
      <c r="K50" s="35"/>
      <c r="L50" s="36"/>
      <c r="M50" s="37"/>
      <c r="N50" s="172"/>
      <c r="Q50" s="38"/>
    </row>
    <row r="51" spans="1:19" x14ac:dyDescent="0.25">
      <c r="A51" s="29"/>
      <c r="B51" s="30"/>
      <c r="C51" s="31"/>
      <c r="D51" s="32"/>
      <c r="E51" s="33"/>
      <c r="F51" s="32"/>
      <c r="G51" s="32"/>
      <c r="H51" s="32"/>
      <c r="I51" s="34"/>
      <c r="J51" s="31"/>
      <c r="K51" s="35"/>
      <c r="L51" s="36"/>
      <c r="M51" s="37"/>
      <c r="N51" s="172"/>
      <c r="Q51" s="38"/>
    </row>
    <row r="52" spans="1:19" x14ac:dyDescent="0.25">
      <c r="A52" s="29"/>
      <c r="B52" s="30"/>
      <c r="C52" s="31"/>
      <c r="D52" s="32"/>
      <c r="E52" s="33"/>
      <c r="F52" s="32"/>
      <c r="G52" s="32"/>
      <c r="H52" s="32"/>
      <c r="I52" s="34"/>
      <c r="J52" s="31"/>
      <c r="K52" s="35"/>
      <c r="L52" s="36"/>
      <c r="M52" s="37"/>
      <c r="N52" s="172"/>
      <c r="Q52" s="38"/>
    </row>
    <row r="53" spans="1:19" x14ac:dyDescent="0.25">
      <c r="A53" s="29"/>
      <c r="B53" s="30"/>
      <c r="C53" s="31"/>
      <c r="D53" s="32"/>
      <c r="E53" s="33"/>
      <c r="F53" s="32"/>
      <c r="G53" s="32"/>
      <c r="H53" s="32"/>
      <c r="I53" s="34"/>
      <c r="J53" s="31"/>
      <c r="K53" s="35"/>
      <c r="L53" s="36"/>
      <c r="M53" s="37"/>
      <c r="N53" s="172"/>
      <c r="Q53" s="38"/>
    </row>
    <row r="54" spans="1:19" x14ac:dyDescent="0.25">
      <c r="A54" s="43"/>
      <c r="B54" s="44"/>
      <c r="C54" s="45"/>
      <c r="D54" s="46"/>
      <c r="E54" s="47"/>
      <c r="F54" s="46"/>
      <c r="G54" s="46"/>
      <c r="H54" s="46"/>
      <c r="I54" s="48"/>
      <c r="J54" s="45"/>
      <c r="K54" s="49"/>
      <c r="L54" s="50"/>
      <c r="M54" s="51"/>
      <c r="N54" s="277"/>
      <c r="O54" s="20"/>
      <c r="P54" s="20"/>
      <c r="Q54" s="39"/>
    </row>
    <row r="55" spans="1:19" x14ac:dyDescent="0.25">
      <c r="A55" s="688" t="str">
        <f>cal!$AK$7&amp;" "&amp;$V$16&amp;" "&amp;ROUND(cal!BK63,1)&amp;IF(cal!$Z$5=1," cm, ",IF(cal!$Z$5=2," in, "))&amp;$V$17&amp;" "&amp;ROUND(cal!BL63,1)&amp;IF(cal!$Z$5=1," cm, ",IF(cal!$Z$5=2," in, "))&amp;$V$18&amp;" "&amp;ROUND(cal!BM63,1)&amp;IF(cal!$Z$5=1," cm ",IF(cal!$Z$5=2," in "))&amp;$S55</f>
        <v>Briza 22 (230V) height 54,5 cm, width 22 cm, length 190 cm (Type 10)</v>
      </c>
      <c r="B55" s="689"/>
      <c r="C55" s="689"/>
      <c r="D55" s="689"/>
      <c r="E55" s="689"/>
      <c r="F55" s="689"/>
      <c r="G55" s="689"/>
      <c r="H55" s="689"/>
      <c r="I55" s="689"/>
      <c r="J55" s="689"/>
      <c r="K55" s="689"/>
      <c r="L55" s="689"/>
      <c r="M55" s="690" t="str">
        <f>$U$27</f>
        <v>Order code:</v>
      </c>
      <c r="N55" s="690"/>
      <c r="O55" s="690"/>
      <c r="P55" s="690"/>
      <c r="Q55" s="691"/>
      <c r="R55" s="207"/>
      <c r="S55" s="207" t="s">
        <v>231</v>
      </c>
    </row>
    <row r="56" spans="1:19" x14ac:dyDescent="0.25">
      <c r="A56" s="29"/>
      <c r="B56" s="30"/>
      <c r="C56" s="31"/>
      <c r="D56" s="32"/>
      <c r="E56" s="33"/>
      <c r="F56" s="32"/>
      <c r="G56" s="32"/>
      <c r="H56" s="32"/>
      <c r="I56" s="34"/>
      <c r="J56" s="31"/>
      <c r="K56" s="35"/>
      <c r="L56" s="36"/>
      <c r="M56" s="37"/>
      <c r="N56" s="172"/>
      <c r="Q56" s="38"/>
    </row>
    <row r="57" spans="1:19" x14ac:dyDescent="0.25">
      <c r="A57" s="29"/>
      <c r="B57" s="30"/>
      <c r="C57" s="31"/>
      <c r="D57" s="32"/>
      <c r="E57" s="33"/>
      <c r="F57" s="32"/>
      <c r="G57" s="32"/>
      <c r="H57" s="32"/>
      <c r="I57" s="34"/>
      <c r="J57" s="31"/>
      <c r="K57" s="35"/>
      <c r="L57" s="36"/>
      <c r="M57" s="37"/>
      <c r="N57" s="172"/>
      <c r="Q57" s="38"/>
    </row>
    <row r="58" spans="1:19" x14ac:dyDescent="0.25">
      <c r="A58" s="29"/>
      <c r="B58" s="30"/>
      <c r="C58" s="31"/>
      <c r="D58" s="32"/>
      <c r="E58" s="33"/>
      <c r="F58" s="32"/>
      <c r="G58" s="32"/>
      <c r="H58" s="32"/>
      <c r="I58" s="34"/>
      <c r="J58" s="31"/>
      <c r="K58" s="35"/>
      <c r="L58" s="36"/>
      <c r="M58" s="37"/>
      <c r="N58" s="172"/>
      <c r="Q58" s="38"/>
    </row>
    <row r="59" spans="1:19" x14ac:dyDescent="0.25">
      <c r="A59" s="29"/>
      <c r="B59" s="30"/>
      <c r="C59" s="31"/>
      <c r="D59" s="32"/>
      <c r="E59" s="33"/>
      <c r="F59" s="32"/>
      <c r="G59" s="32"/>
      <c r="H59" s="32"/>
      <c r="I59" s="34"/>
      <c r="J59" s="31"/>
      <c r="K59" s="35"/>
      <c r="L59" s="36"/>
      <c r="M59" s="37"/>
      <c r="N59" s="172"/>
      <c r="Q59" s="38"/>
    </row>
    <row r="60" spans="1:19" x14ac:dyDescent="0.25">
      <c r="A60" s="29"/>
      <c r="B60" s="30"/>
      <c r="C60" s="31"/>
      <c r="D60" s="32"/>
      <c r="E60" s="33"/>
      <c r="F60" s="32"/>
      <c r="G60" s="32"/>
      <c r="H60" s="32"/>
      <c r="I60" s="34"/>
      <c r="J60" s="31"/>
      <c r="K60" s="35"/>
      <c r="L60" s="36"/>
      <c r="M60" s="37"/>
      <c r="N60" s="172"/>
      <c r="Q60" s="38"/>
    </row>
    <row r="61" spans="1:19" x14ac:dyDescent="0.25">
      <c r="A61" s="29"/>
      <c r="B61" s="30"/>
      <c r="C61" s="31"/>
      <c r="D61" s="32"/>
      <c r="E61" s="33"/>
      <c r="F61" s="32"/>
      <c r="G61" s="32"/>
      <c r="H61" s="32"/>
      <c r="I61" s="34"/>
      <c r="J61" s="31"/>
      <c r="K61" s="35"/>
      <c r="L61" s="36"/>
      <c r="M61" s="37"/>
      <c r="N61" s="172"/>
      <c r="Q61" s="38"/>
    </row>
    <row r="62" spans="1:19" x14ac:dyDescent="0.25">
      <c r="A62" s="43"/>
      <c r="B62" s="44"/>
      <c r="C62" s="45"/>
      <c r="D62" s="46"/>
      <c r="E62" s="47"/>
      <c r="F62" s="46"/>
      <c r="G62" s="46"/>
      <c r="H62" s="46"/>
      <c r="I62" s="48"/>
      <c r="J62" s="45"/>
      <c r="K62" s="49"/>
      <c r="L62" s="50"/>
      <c r="M62" s="51"/>
      <c r="N62" s="277"/>
      <c r="O62" s="20"/>
      <c r="P62" s="20"/>
      <c r="Q62" s="39"/>
    </row>
    <row r="63" spans="1:19" ht="9.4" customHeight="1" x14ac:dyDescent="0.25">
      <c r="A63" s="40" t="s">
        <v>258</v>
      </c>
      <c r="L63" s="41"/>
      <c r="M63" s="42"/>
      <c r="N63" s="42"/>
      <c r="Q63" s="42">
        <f>cal!Q63</f>
        <v>0</v>
      </c>
      <c r="R63" s="42"/>
      <c r="S63" s="42"/>
    </row>
    <row r="64" spans="1:19" ht="9.4" customHeight="1" x14ac:dyDescent="0.25">
      <c r="A64" s="40" t="s">
        <v>22</v>
      </c>
    </row>
    <row r="65" spans="1:1" ht="9.4" customHeight="1" x14ac:dyDescent="0.25">
      <c r="A65" s="40" t="s">
        <v>23</v>
      </c>
    </row>
    <row r="66" spans="1:1" ht="9.4" customHeight="1" x14ac:dyDescent="0.25">
      <c r="A66" s="40" t="s">
        <v>289</v>
      </c>
    </row>
  </sheetData>
  <sheetProtection selectLockedCells="1"/>
  <mergeCells count="26">
    <mergeCell ref="S7:T7"/>
    <mergeCell ref="G3:J3"/>
    <mergeCell ref="G4:J4"/>
    <mergeCell ref="L6:M6"/>
    <mergeCell ref="L7:M7"/>
    <mergeCell ref="Q7:R7"/>
    <mergeCell ref="A8:C8"/>
    <mergeCell ref="F8:I8"/>
    <mergeCell ref="Q8:R10"/>
    <mergeCell ref="A9:C9"/>
    <mergeCell ref="F9:I9"/>
    <mergeCell ref="L9:M9"/>
    <mergeCell ref="F10:I10"/>
    <mergeCell ref="L10:M10"/>
    <mergeCell ref="A15:L15"/>
    <mergeCell ref="M15:Q15"/>
    <mergeCell ref="A23:L23"/>
    <mergeCell ref="M23:Q23"/>
    <mergeCell ref="A31:L31"/>
    <mergeCell ref="M31:Q31"/>
    <mergeCell ref="A39:L39"/>
    <mergeCell ref="M39:Q39"/>
    <mergeCell ref="A47:L47"/>
    <mergeCell ref="M47:Q47"/>
    <mergeCell ref="A55:L55"/>
    <mergeCell ref="M55:Q55"/>
  </mergeCells>
  <dataValidations count="7">
    <dataValidation type="whole" errorStyle="information" allowBlank="1" showErrorMessage="1" error="Eingabe außerhalb des gültigen Bereichs." prompt="20°C bis 35°C" sqref="J10" xr:uid="{00000000-0002-0000-0A00-000000000000}">
      <formula1>20</formula1>
      <formula2>35</formula2>
    </dataValidation>
    <dataValidation type="whole" errorStyle="information" allowBlank="1" showErrorMessage="1" error="Eingabe außerhalb des gültigen Bereichs." prompt="Eingabe zwischen 16°C bis 30°C" sqref="D10" xr:uid="{00000000-0002-0000-0A00-000001000000}">
      <formula1>16</formula1>
      <formula2>30</formula2>
    </dataValidation>
    <dataValidation type="whole" errorStyle="information" allowBlank="1" showErrorMessage="1" error="Eingabe außerhalb des gültigen Bereichs." prompt="Eingabe zwischen Vorlauftemp. und Raumtemp." sqref="D9" xr:uid="{00000000-0002-0000-0A00-000002000000}">
      <formula1>D10</formula1>
      <formula2>D8</formula2>
    </dataValidation>
    <dataValidation type="whole" errorStyle="information" allowBlank="1" showErrorMessage="1" error="Temperatur außerhalb des gütligen Bereichs." prompt="Eingabe zwischen 30°C bis 95°C" sqref="D8" xr:uid="{00000000-0002-0000-0A00-000003000000}">
      <formula1>30</formula1>
      <formula2>95</formula2>
    </dataValidation>
    <dataValidation type="whole" errorStyle="information" allowBlank="1" showErrorMessage="1" error="Eingabe außerhalb des gültigen Bereichs." prompt="Eingabe zwischen Vorlauftemp. und Raumtemp." sqref="J9" xr:uid="{00000000-0002-0000-0A00-000004000000}">
      <formula1>J8</formula1>
      <formula2>J10</formula2>
    </dataValidation>
    <dataValidation type="whole" errorStyle="information" allowBlank="1" showErrorMessage="1" error="Eingabe außerhalb des gültigen Bereichs." prompt="Eingabe zwischen 5°C bis 20°C" sqref="J8" xr:uid="{00000000-0002-0000-0A00-000005000000}">
      <formula1>5</formula1>
      <formula2>20</formula2>
    </dataValidation>
    <dataValidation type="decimal" errorStyle="information" allowBlank="1" showErrorMessage="1" error="Eingabe außerhalb des gültigen Bereichs." prompt="20°C bis 35°C" sqref="J11" xr:uid="{00000000-0002-0000-0A00-000006000000}">
      <formula1>0.01</formula1>
      <formula2>1</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EN3"/>
  <dimension ref="A1:W66"/>
  <sheetViews>
    <sheetView workbookViewId="0">
      <selection activeCell="K2" sqref="K2:M2"/>
    </sheetView>
  </sheetViews>
  <sheetFormatPr defaultColWidth="9.140625" defaultRowHeight="15" x14ac:dyDescent="0.25"/>
  <cols>
    <col min="1" max="1" width="7" style="2" customWidth="1"/>
    <col min="2" max="2" width="6.140625" style="2" customWidth="1"/>
    <col min="3" max="3" width="7" style="2" customWidth="1"/>
    <col min="4" max="4" width="6.7109375" style="2" customWidth="1"/>
    <col min="5" max="19" width="7" style="2" customWidth="1"/>
    <col min="20" max="16384" width="9.140625" style="2"/>
  </cols>
  <sheetData>
    <row r="1" spans="1:23" x14ac:dyDescent="0.25">
      <c r="A1" s="1"/>
    </row>
    <row r="2" spans="1:23" x14ac:dyDescent="0.25">
      <c r="A2" s="3" t="s">
        <v>26</v>
      </c>
      <c r="B2" s="4"/>
    </row>
    <row r="3" spans="1:23" x14ac:dyDescent="0.25">
      <c r="A3" s="1"/>
      <c r="G3" s="684" t="s">
        <v>170</v>
      </c>
      <c r="H3" s="622">
        <v>0</v>
      </c>
      <c r="I3" s="622">
        <v>0</v>
      </c>
      <c r="J3" s="623">
        <v>0</v>
      </c>
    </row>
    <row r="4" spans="1:23" x14ac:dyDescent="0.25">
      <c r="A4" s="5" t="s">
        <v>24</v>
      </c>
      <c r="G4" s="684" t="s">
        <v>112</v>
      </c>
      <c r="H4" s="622">
        <v>0</v>
      </c>
      <c r="I4" s="622">
        <v>0</v>
      </c>
      <c r="J4" s="623">
        <v>0</v>
      </c>
    </row>
    <row r="5" spans="1:23" ht="6" customHeight="1" thickBot="1" x14ac:dyDescent="0.3">
      <c r="A5" s="6"/>
      <c r="B5" s="7"/>
      <c r="C5" s="7"/>
      <c r="D5" s="7"/>
      <c r="E5" s="7"/>
      <c r="F5" s="7"/>
      <c r="G5" s="7"/>
      <c r="H5" s="7"/>
      <c r="I5" s="7"/>
      <c r="J5" s="7"/>
      <c r="K5" s="7"/>
      <c r="L5" s="7"/>
      <c r="M5" s="7"/>
      <c r="N5" s="7"/>
      <c r="O5" s="7"/>
      <c r="P5" s="7"/>
      <c r="Q5" s="8"/>
      <c r="R5" s="10"/>
      <c r="S5" s="10"/>
    </row>
    <row r="6" spans="1:23" ht="15.75" thickBot="1" x14ac:dyDescent="0.3">
      <c r="A6" s="9" t="s">
        <v>16</v>
      </c>
      <c r="B6" s="10"/>
      <c r="C6" s="10"/>
      <c r="D6" s="10"/>
      <c r="E6" s="10"/>
      <c r="F6" s="10"/>
      <c r="G6" s="10"/>
      <c r="H6" s="10"/>
      <c r="I6" s="10"/>
      <c r="J6" s="10"/>
      <c r="K6" s="10"/>
      <c r="L6" s="686" t="s">
        <v>188</v>
      </c>
      <c r="M6" s="687"/>
      <c r="N6" s="274"/>
      <c r="O6" s="10"/>
      <c r="P6" s="10"/>
      <c r="Q6" s="11"/>
      <c r="R6" s="10"/>
      <c r="S6" s="10"/>
    </row>
    <row r="7" spans="1:23" ht="15.75" thickBot="1" x14ac:dyDescent="0.3">
      <c r="A7" s="9" t="s">
        <v>17</v>
      </c>
      <c r="B7" s="10"/>
      <c r="C7" s="10"/>
      <c r="D7" s="10"/>
      <c r="E7" s="10"/>
      <c r="F7" s="12" t="s">
        <v>18</v>
      </c>
      <c r="G7" s="12"/>
      <c r="H7" s="12"/>
      <c r="I7" s="10"/>
      <c r="J7" s="10"/>
      <c r="K7" s="10"/>
      <c r="L7" s="636"/>
      <c r="M7" s="637"/>
      <c r="N7" s="275"/>
      <c r="O7" s="10"/>
      <c r="P7" s="10"/>
      <c r="Q7" s="552" t="s">
        <v>196</v>
      </c>
      <c r="R7" s="553"/>
      <c r="S7" s="552" t="s">
        <v>308</v>
      </c>
      <c r="T7" s="553"/>
    </row>
    <row r="8" spans="1:23" ht="15.75" thickBot="1" x14ac:dyDescent="0.3">
      <c r="A8" s="685" t="s">
        <v>177</v>
      </c>
      <c r="B8" s="613"/>
      <c r="C8" s="613"/>
      <c r="D8" s="13">
        <f>cal!E10</f>
        <v>65</v>
      </c>
      <c r="E8" s="52" t="str">
        <f>IF(cal!$Z$5=1,"°C",IF(cal!$Z$5=2,"°F"))</f>
        <v>°C</v>
      </c>
      <c r="F8" s="613" t="str">
        <f>A8</f>
        <v>Supply water</v>
      </c>
      <c r="G8" s="613"/>
      <c r="H8" s="613"/>
      <c r="I8" s="613"/>
      <c r="J8" s="13">
        <f>cal!K10</f>
        <v>16</v>
      </c>
      <c r="K8" s="10" t="str">
        <f>E8</f>
        <v>°C</v>
      </c>
      <c r="L8" s="10"/>
      <c r="M8" s="10"/>
      <c r="N8" s="10"/>
      <c r="O8" s="10"/>
      <c r="P8" s="10"/>
      <c r="Q8" s="643"/>
      <c r="R8" s="644"/>
      <c r="S8" s="10"/>
    </row>
    <row r="9" spans="1:23" ht="15.75" thickBot="1" x14ac:dyDescent="0.3">
      <c r="A9" s="685" t="s">
        <v>178</v>
      </c>
      <c r="B9" s="613"/>
      <c r="C9" s="613"/>
      <c r="D9" s="13">
        <f>cal!E11</f>
        <v>55</v>
      </c>
      <c r="E9" s="52" t="str">
        <f>E8</f>
        <v>°C</v>
      </c>
      <c r="F9" s="613" t="str">
        <f>A9</f>
        <v>Return water</v>
      </c>
      <c r="G9" s="613"/>
      <c r="H9" s="613"/>
      <c r="I9" s="614"/>
      <c r="J9" s="13">
        <f>cal!K11</f>
        <v>18</v>
      </c>
      <c r="K9" s="10" t="str">
        <f>E8</f>
        <v>°C</v>
      </c>
      <c r="L9" s="686" t="s">
        <v>185</v>
      </c>
      <c r="M9" s="687"/>
      <c r="N9" s="274"/>
      <c r="O9" s="10"/>
      <c r="P9" s="10"/>
      <c r="Q9" s="645"/>
      <c r="R9" s="646"/>
      <c r="S9" s="10"/>
    </row>
    <row r="10" spans="1:23" ht="15.75" thickBot="1" x14ac:dyDescent="0.3">
      <c r="A10" s="262" t="s">
        <v>179</v>
      </c>
      <c r="B10" s="263"/>
      <c r="C10" s="263"/>
      <c r="D10" s="13">
        <f>cal!E12</f>
        <v>20</v>
      </c>
      <c r="E10" s="52" t="str">
        <f>E8</f>
        <v>°C</v>
      </c>
      <c r="F10" s="613" t="str">
        <f>A10</f>
        <v>Entering air (dry bulb)</v>
      </c>
      <c r="G10" s="613"/>
      <c r="H10" s="613"/>
      <c r="I10" s="614"/>
      <c r="J10" s="13">
        <f>cal!K12</f>
        <v>27</v>
      </c>
      <c r="K10" s="10" t="str">
        <f>E8</f>
        <v>°C</v>
      </c>
      <c r="L10" s="641"/>
      <c r="M10" s="642"/>
      <c r="N10" s="276"/>
      <c r="O10" s="10"/>
      <c r="P10" s="10"/>
      <c r="Q10" s="645"/>
      <c r="R10" s="646"/>
      <c r="S10" s="10"/>
      <c r="U10" s="2" t="s">
        <v>323</v>
      </c>
    </row>
    <row r="11" spans="1:23" x14ac:dyDescent="0.25">
      <c r="A11" s="262" t="s">
        <v>181</v>
      </c>
      <c r="B11" s="263"/>
      <c r="C11" s="263"/>
      <c r="D11" s="10"/>
      <c r="E11" s="10"/>
      <c r="F11" s="10" t="s">
        <v>141</v>
      </c>
      <c r="G11" s="10"/>
      <c r="H11" s="10"/>
      <c r="I11" s="10"/>
      <c r="J11" s="15">
        <f>cal!K14</f>
        <v>0.5</v>
      </c>
      <c r="K11" s="10"/>
      <c r="L11" s="10"/>
      <c r="M11" s="10"/>
      <c r="N11" s="10"/>
      <c r="O11" s="10"/>
      <c r="P11" s="10"/>
      <c r="Q11" s="11"/>
      <c r="R11" s="10"/>
      <c r="S11" s="10"/>
      <c r="U11" s="2" t="s">
        <v>324</v>
      </c>
    </row>
    <row r="12" spans="1:23" ht="6" customHeight="1" x14ac:dyDescent="0.25">
      <c r="A12" s="16"/>
      <c r="B12" s="17"/>
      <c r="C12" s="17"/>
      <c r="D12" s="17"/>
      <c r="E12" s="18"/>
      <c r="F12" s="18"/>
      <c r="G12" s="18"/>
      <c r="H12" s="18"/>
      <c r="I12" s="18"/>
      <c r="J12" s="18"/>
      <c r="K12" s="18"/>
      <c r="L12" s="18"/>
      <c r="M12" s="18"/>
      <c r="N12" s="18"/>
      <c r="O12" s="18"/>
      <c r="P12" s="18"/>
      <c r="Q12" s="19"/>
      <c r="R12" s="10"/>
      <c r="S12" s="10"/>
    </row>
    <row r="13" spans="1:23" x14ac:dyDescent="0.25">
      <c r="A13" s="20"/>
      <c r="B13" s="20"/>
      <c r="C13" s="20"/>
      <c r="D13" s="20"/>
      <c r="E13" s="20"/>
      <c r="F13" s="20"/>
      <c r="G13" s="20"/>
      <c r="H13" s="20"/>
      <c r="I13" s="20"/>
      <c r="J13" s="20"/>
      <c r="K13" s="20"/>
      <c r="L13" s="20"/>
      <c r="M13" s="20"/>
    </row>
    <row r="14" spans="1:23" s="28" customFormat="1" ht="95.45" customHeight="1" x14ac:dyDescent="0.25">
      <c r="A14" s="21" t="s">
        <v>372</v>
      </c>
      <c r="B14" s="22" t="s">
        <v>19</v>
      </c>
      <c r="C14" s="21" t="str">
        <f>CONCATENATE("Heat output * ",ROUND(D8,0),"/",ROUND(D9,0),"/",ROUND(D10,0)," ["&amp;IF(cal!$Z$5=1,"W",IF(cal!$Z$5=2,"Btu/h"))&amp;"]")</f>
        <v>Heat output * 65/55/20 [W]</v>
      </c>
      <c r="D14" s="23" t="str">
        <f>"Water flowrate, heating ["&amp;IF(cal!$Z$5=1,"l/h",IF(cal!$Z$5=2,"GPM"))&amp;"]"</f>
        <v>Water flowrate, heating [l/h]</v>
      </c>
      <c r="E14" s="24" t="str">
        <f>"Water side pressure loss ["&amp;IF(cal!$Z$5=1,"kPa",IF(cal!$Z$5=2,"ftH2O"))&amp;"]"</f>
        <v>Water side pressure loss [kPa]</v>
      </c>
      <c r="F14" s="22" t="str">
        <f>CONCATENATE("Sens. cooling capacity * ",ROUND(J8,0),"/",ROUND(J9,0),"/",ROUND(J10,0)," ["&amp;IF(cal!$Z$5=1,"W",IF(cal!$Z$5=2,"Btu/h"))&amp;"]")</f>
        <v>Sens. cooling capacity * 16/18/27 [W]</v>
      </c>
      <c r="G14" s="22" t="str">
        <f>CONCATENATE("Tot. cooling capacity ",ROUND(J8,0),"/",ROUND(J9,0),"/",ROUND(J10,0)," ["&amp;IF(cal!$Z$5=1,"W",IF(cal!$Z$5=2,"Btu/h"))&amp;"]")</f>
        <v>Tot. cooling capacity 16/18/27 [W]</v>
      </c>
      <c r="H14" s="22" t="str">
        <f>"Water flowrate, cooling ["&amp;IF(cal!$Z$5=1,"l/h",IF(cal!$Z$5=2,"GPM"))&amp;"]"</f>
        <v>Water flowrate, cooling [l/h]</v>
      </c>
      <c r="I14" s="25" t="str">
        <f>E14</f>
        <v>Water side pressure loss [kPa]</v>
      </c>
      <c r="J14" s="21" t="s">
        <v>20</v>
      </c>
      <c r="K14" s="26" t="s">
        <v>36</v>
      </c>
      <c r="L14" s="22" t="s">
        <v>21</v>
      </c>
      <c r="M14" s="27" t="str">
        <f>"Air flowrate ["&amp;IF(cal!$Z$5=1,"m³/h",IF(cal!$Z$5=2,"CFM"))&amp;"]"</f>
        <v>Air flowrate [m³/h]</v>
      </c>
      <c r="N14" s="27" t="str">
        <f>"Face velocity ["&amp;IF(cal!$Z$5=1,"m/s",IF(cal!$Z$5=2,"ft/min"))&amp;"]"</f>
        <v>Face velocity [m/s]</v>
      </c>
      <c r="O14" s="209" t="str">
        <f>"Air exhaust temp. heating ["&amp;IF(cal!$Z$5=1,"°C",IF(cal!$Z$5=2,"°F"))&amp;"]"</f>
        <v>Air exhaust temp. heating [°C]</v>
      </c>
      <c r="P14" s="209" t="str">
        <f>"Air exhaust temp. heating (wet bulb) ["&amp;IF(cal!$Z$5=1,"°C",IF(cal!$Z$5=2,"°F"))&amp;"]"</f>
        <v>Air exhaust temp. heating (wet bulb) [°C]</v>
      </c>
      <c r="Q14" s="210" t="str">
        <f>"Air exhaust temp. cooling (dry bulb) ["&amp;IF(cal!$Z$5=1,"°C",IF(cal!$Z$5=2,"°F"))&amp;"]"</f>
        <v>Air exhaust temp. cooling (dry bulb) [°C]</v>
      </c>
      <c r="R14" s="210" t="str">
        <f>"Air exhaust temp. cooling (wet bulb) ["&amp;IF(cal!$Z$5=1,"°C",IF(cal!$Z$5=2,"°F"))&amp;"]"</f>
        <v>Air exhaust temp. cooling (wet bulb) [°C]</v>
      </c>
      <c r="S14" s="211" t="s">
        <v>133</v>
      </c>
      <c r="T14" s="211" t="s">
        <v>298</v>
      </c>
      <c r="U14" s="28" t="s">
        <v>359</v>
      </c>
    </row>
    <row r="15" spans="1:23" ht="18" customHeight="1" x14ac:dyDescent="0.25">
      <c r="A15" s="688" t="str">
        <f>cal!$AK$7&amp;" "&amp;$V$16&amp;" "&amp;ROUND(cal!BK23,1)&amp;IF(cal!$Z$5=1," cm, ",IF(cal!$Z$5=2," in, "))&amp;$V$17&amp;" "&amp;ROUND(cal!BL23,1)&amp;IF(cal!$Z$5=1," cm, ",IF(cal!$Z$5=2," in, "))&amp;$V$18&amp;" "&amp;ROUND(cal!BM23,1)&amp;IF(cal!$Z$5=1," cm ",IF(cal!$Z$5=2," in "))&amp;$S15</f>
        <v>Briza 22 (230V) height 54,5 cm, width 22 cm, length 55 cm (Type 02)</v>
      </c>
      <c r="B15" s="689"/>
      <c r="C15" s="689"/>
      <c r="D15" s="689"/>
      <c r="E15" s="689"/>
      <c r="F15" s="689"/>
      <c r="G15" s="689"/>
      <c r="H15" s="689"/>
      <c r="I15" s="689"/>
      <c r="J15" s="689"/>
      <c r="K15" s="689"/>
      <c r="L15" s="689"/>
      <c r="M15" s="690" t="str">
        <f>$U$27</f>
        <v>Order code:</v>
      </c>
      <c r="N15" s="690"/>
      <c r="O15" s="690"/>
      <c r="P15" s="690"/>
      <c r="Q15" s="691"/>
      <c r="R15" s="207"/>
      <c r="S15" s="207" t="s">
        <v>226</v>
      </c>
    </row>
    <row r="16" spans="1:23" x14ac:dyDescent="0.25">
      <c r="A16" s="29"/>
      <c r="B16" s="30"/>
      <c r="C16" s="31"/>
      <c r="D16" s="32"/>
      <c r="E16" s="33"/>
      <c r="F16" s="32"/>
      <c r="G16" s="32"/>
      <c r="H16" s="32"/>
      <c r="I16" s="34"/>
      <c r="J16" s="31"/>
      <c r="K16" s="35"/>
      <c r="L16" s="36"/>
      <c r="M16" s="37"/>
      <c r="N16" s="172"/>
      <c r="Q16" s="38"/>
      <c r="U16" s="2" t="s">
        <v>75</v>
      </c>
      <c r="V16" s="2" t="s">
        <v>235</v>
      </c>
      <c r="W16" s="517" t="s">
        <v>419</v>
      </c>
    </row>
    <row r="17" spans="1:23" x14ac:dyDescent="0.25">
      <c r="A17" s="29"/>
      <c r="B17" s="30"/>
      <c r="C17" s="31"/>
      <c r="D17" s="32"/>
      <c r="E17" s="33"/>
      <c r="F17" s="32"/>
      <c r="G17" s="32"/>
      <c r="H17" s="32"/>
      <c r="I17" s="34"/>
      <c r="J17" s="31"/>
      <c r="K17" s="35"/>
      <c r="L17" s="36"/>
      <c r="M17" s="37"/>
      <c r="N17" s="172"/>
      <c r="Q17" s="38"/>
      <c r="U17" s="2" t="s">
        <v>165</v>
      </c>
      <c r="V17" s="2" t="s">
        <v>236</v>
      </c>
      <c r="W17" s="517" t="s">
        <v>420</v>
      </c>
    </row>
    <row r="18" spans="1:23" x14ac:dyDescent="0.25">
      <c r="A18" s="29"/>
      <c r="B18" s="30"/>
      <c r="C18" s="31"/>
      <c r="D18" s="32"/>
      <c r="E18" s="33"/>
      <c r="F18" s="32"/>
      <c r="G18" s="32"/>
      <c r="H18" s="32"/>
      <c r="I18" s="34"/>
      <c r="J18" s="31"/>
      <c r="K18" s="35"/>
      <c r="L18" s="36"/>
      <c r="M18" s="37"/>
      <c r="N18" s="172"/>
      <c r="Q18" s="38"/>
      <c r="U18" s="2" t="s">
        <v>166</v>
      </c>
      <c r="V18" s="2" t="s">
        <v>237</v>
      </c>
      <c r="W18" s="517" t="s">
        <v>421</v>
      </c>
    </row>
    <row r="19" spans="1:23" x14ac:dyDescent="0.25">
      <c r="A19" s="29"/>
      <c r="B19" s="30"/>
      <c r="C19" s="31"/>
      <c r="D19" s="32"/>
      <c r="E19" s="33"/>
      <c r="F19" s="32"/>
      <c r="G19" s="32"/>
      <c r="H19" s="32"/>
      <c r="I19" s="34"/>
      <c r="J19" s="31"/>
      <c r="K19" s="35"/>
      <c r="L19" s="36"/>
      <c r="M19" s="37"/>
      <c r="N19" s="172"/>
      <c r="Q19" s="38"/>
      <c r="U19" s="2" t="s">
        <v>167</v>
      </c>
      <c r="W19" s="2" t="s">
        <v>483</v>
      </c>
    </row>
    <row r="20" spans="1:23" x14ac:dyDescent="0.25">
      <c r="A20" s="29"/>
      <c r="B20" s="30"/>
      <c r="C20" s="31"/>
      <c r="D20" s="32"/>
      <c r="E20" s="33"/>
      <c r="F20" s="32"/>
      <c r="G20" s="32"/>
      <c r="H20" s="32"/>
      <c r="I20" s="34"/>
      <c r="J20" s="31"/>
      <c r="K20" s="35"/>
      <c r="L20" s="36"/>
      <c r="M20" s="37"/>
      <c r="N20" s="172"/>
      <c r="Q20" s="38"/>
      <c r="W20" s="2" t="s">
        <v>484</v>
      </c>
    </row>
    <row r="21" spans="1:23" x14ac:dyDescent="0.25">
      <c r="A21" s="29"/>
      <c r="B21" s="30"/>
      <c r="C21" s="31"/>
      <c r="D21" s="32"/>
      <c r="E21" s="33"/>
      <c r="F21" s="32"/>
      <c r="G21" s="32"/>
      <c r="H21" s="32"/>
      <c r="I21" s="34"/>
      <c r="J21" s="31"/>
      <c r="K21" s="35"/>
      <c r="L21" s="36"/>
      <c r="M21" s="37"/>
      <c r="N21" s="172"/>
      <c r="Q21" s="38"/>
      <c r="W21" s="2" t="s">
        <v>485</v>
      </c>
    </row>
    <row r="22" spans="1:23" x14ac:dyDescent="0.25">
      <c r="A22" s="43"/>
      <c r="B22" s="44"/>
      <c r="C22" s="45"/>
      <c r="D22" s="46"/>
      <c r="E22" s="47"/>
      <c r="F22" s="46"/>
      <c r="G22" s="46"/>
      <c r="H22" s="46"/>
      <c r="I22" s="48"/>
      <c r="J22" s="45"/>
      <c r="K22" s="49"/>
      <c r="L22" s="50"/>
      <c r="M22" s="51"/>
      <c r="N22" s="277"/>
      <c r="O22" s="20"/>
      <c r="P22" s="20"/>
      <c r="Q22" s="39"/>
      <c r="U22" s="2" t="s">
        <v>335</v>
      </c>
      <c r="W22" s="2" t="s">
        <v>486</v>
      </c>
    </row>
    <row r="23" spans="1:23" ht="16.899999999999999" customHeight="1" x14ac:dyDescent="0.25">
      <c r="A23" s="688" t="str">
        <f>cal!$AK$7&amp;" "&amp;$V$16&amp;" "&amp;ROUND(cal!BK31,1)&amp;IF(cal!$Z$5=1," cm, ",IF(cal!$Z$5=2," in, "))&amp;$V$17&amp;" "&amp;ROUND(cal!BL31,1)&amp;IF(cal!$Z$5=1," cm, ",IF(cal!$Z$5=2," in, "))&amp;$V$18&amp;" "&amp;ROUND(cal!BM31,1)&amp;IF(cal!$Z$5=1," cm ",IF(cal!$Z$5=2," in "))&amp;$S23</f>
        <v>Briza 22 (230V) height 54,5 cm, width 22 cm, length 75 cm (Type 03)</v>
      </c>
      <c r="B23" s="689"/>
      <c r="C23" s="689"/>
      <c r="D23" s="689"/>
      <c r="E23" s="689"/>
      <c r="F23" s="689"/>
      <c r="G23" s="689"/>
      <c r="H23" s="689"/>
      <c r="I23" s="689"/>
      <c r="J23" s="689"/>
      <c r="K23" s="689"/>
      <c r="L23" s="689"/>
      <c r="M23" s="690" t="str">
        <f>$U$27</f>
        <v>Order code:</v>
      </c>
      <c r="N23" s="690"/>
      <c r="O23" s="690"/>
      <c r="P23" s="690"/>
      <c r="Q23" s="691"/>
      <c r="R23" s="207"/>
      <c r="S23" s="207" t="s">
        <v>227</v>
      </c>
      <c r="W23" s="2" t="s">
        <v>487</v>
      </c>
    </row>
    <row r="24" spans="1:23" x14ac:dyDescent="0.25">
      <c r="A24" s="29"/>
      <c r="B24" s="30"/>
      <c r="C24" s="31"/>
      <c r="D24" s="32"/>
      <c r="E24" s="33"/>
      <c r="F24" s="32"/>
      <c r="G24" s="32"/>
      <c r="H24" s="32"/>
      <c r="I24" s="34"/>
      <c r="J24" s="31"/>
      <c r="K24" s="35"/>
      <c r="L24" s="36"/>
      <c r="M24" s="37"/>
      <c r="N24" s="172"/>
      <c r="Q24" s="38"/>
      <c r="U24" s="2" t="s">
        <v>340</v>
      </c>
    </row>
    <row r="25" spans="1:23" x14ac:dyDescent="0.25">
      <c r="A25" s="29"/>
      <c r="B25" s="30"/>
      <c r="C25" s="31"/>
      <c r="D25" s="32"/>
      <c r="E25" s="33"/>
      <c r="F25" s="32"/>
      <c r="G25" s="32"/>
      <c r="H25" s="32"/>
      <c r="I25" s="34"/>
      <c r="J25" s="31"/>
      <c r="K25" s="35"/>
      <c r="L25" s="36"/>
      <c r="M25" s="37"/>
      <c r="N25" s="172"/>
      <c r="Q25" s="38"/>
      <c r="U25" s="2" t="s">
        <v>341</v>
      </c>
    </row>
    <row r="26" spans="1:23" x14ac:dyDescent="0.25">
      <c r="A26" s="29"/>
      <c r="B26" s="30"/>
      <c r="C26" s="31"/>
      <c r="D26" s="32"/>
      <c r="E26" s="33"/>
      <c r="F26" s="32"/>
      <c r="G26" s="32"/>
      <c r="H26" s="32"/>
      <c r="I26" s="34"/>
      <c r="J26" s="31"/>
      <c r="K26" s="35"/>
      <c r="L26" s="36"/>
      <c r="M26" s="37"/>
      <c r="N26" s="172"/>
      <c r="Q26" s="38"/>
    </row>
    <row r="27" spans="1:23" x14ac:dyDescent="0.25">
      <c r="A27" s="29"/>
      <c r="B27" s="30"/>
      <c r="C27" s="31"/>
      <c r="D27" s="32"/>
      <c r="E27" s="33"/>
      <c r="F27" s="32"/>
      <c r="G27" s="32"/>
      <c r="H27" s="32"/>
      <c r="I27" s="34"/>
      <c r="J27" s="31"/>
      <c r="K27" s="35"/>
      <c r="L27" s="36"/>
      <c r="M27" s="37"/>
      <c r="N27" s="172"/>
      <c r="Q27" s="38"/>
      <c r="U27" s="2" t="s">
        <v>353</v>
      </c>
    </row>
    <row r="28" spans="1:23" x14ac:dyDescent="0.25">
      <c r="A28" s="29"/>
      <c r="B28" s="30"/>
      <c r="C28" s="31"/>
      <c r="D28" s="32"/>
      <c r="E28" s="33"/>
      <c r="F28" s="32"/>
      <c r="G28" s="32"/>
      <c r="H28" s="32"/>
      <c r="I28" s="34"/>
      <c r="J28" s="31"/>
      <c r="K28" s="35"/>
      <c r="L28" s="36"/>
      <c r="M28" s="37"/>
      <c r="N28" s="172"/>
      <c r="Q28" s="38"/>
    </row>
    <row r="29" spans="1:23" x14ac:dyDescent="0.25">
      <c r="A29" s="29"/>
      <c r="B29" s="30"/>
      <c r="C29" s="31"/>
      <c r="D29" s="32"/>
      <c r="E29" s="33"/>
      <c r="F29" s="32"/>
      <c r="G29" s="32"/>
      <c r="H29" s="32"/>
      <c r="I29" s="34"/>
      <c r="J29" s="31"/>
      <c r="K29" s="35"/>
      <c r="L29" s="36"/>
      <c r="M29" s="37"/>
      <c r="N29" s="172"/>
      <c r="Q29" s="38"/>
    </row>
    <row r="30" spans="1:23" x14ac:dyDescent="0.25">
      <c r="A30" s="43"/>
      <c r="B30" s="44"/>
      <c r="C30" s="45"/>
      <c r="D30" s="46"/>
      <c r="E30" s="47"/>
      <c r="F30" s="46"/>
      <c r="G30" s="46"/>
      <c r="H30" s="46"/>
      <c r="I30" s="48"/>
      <c r="J30" s="45"/>
      <c r="K30" s="49"/>
      <c r="L30" s="50"/>
      <c r="M30" s="51"/>
      <c r="N30" s="277"/>
      <c r="O30" s="20"/>
      <c r="P30" s="20"/>
      <c r="Q30" s="39"/>
    </row>
    <row r="31" spans="1:23" ht="18" customHeight="1" x14ac:dyDescent="0.25">
      <c r="A31" s="688" t="str">
        <f>cal!$AK$7&amp;" "&amp;$V$16&amp;" "&amp;ROUND(cal!BK39,1)&amp;IF(cal!$Z$5=1," cm, ",IF(cal!$Z$5=2," in, "))&amp;$V$17&amp;" "&amp;ROUND(cal!BL39,1)&amp;IF(cal!$Z$5=1," cm, ",IF(cal!$Z$5=2," in, "))&amp;$V$18&amp;" "&amp;ROUND(cal!BM39,1)&amp;IF(cal!$Z$5=1," cm ",IF(cal!$Z$5=2," in "))&amp;$S31</f>
        <v>Briza 22 (230V) height 54,5 cm, width 22 cm, length 95 cm (Type 04)</v>
      </c>
      <c r="B31" s="689"/>
      <c r="C31" s="689"/>
      <c r="D31" s="689"/>
      <c r="E31" s="689"/>
      <c r="F31" s="689"/>
      <c r="G31" s="689"/>
      <c r="H31" s="689"/>
      <c r="I31" s="689"/>
      <c r="J31" s="689"/>
      <c r="K31" s="689"/>
      <c r="L31" s="689"/>
      <c r="M31" s="690" t="str">
        <f>$U$27</f>
        <v>Order code:</v>
      </c>
      <c r="N31" s="690"/>
      <c r="O31" s="690"/>
      <c r="P31" s="690"/>
      <c r="Q31" s="691"/>
      <c r="R31" s="207"/>
      <c r="S31" s="207" t="s">
        <v>228</v>
      </c>
    </row>
    <row r="32" spans="1:23" x14ac:dyDescent="0.25">
      <c r="A32" s="29"/>
      <c r="B32" s="30"/>
      <c r="C32" s="31"/>
      <c r="D32" s="32"/>
      <c r="E32" s="33"/>
      <c r="F32" s="32"/>
      <c r="G32" s="32"/>
      <c r="H32" s="32"/>
      <c r="I32" s="34"/>
      <c r="J32" s="31"/>
      <c r="K32" s="35"/>
      <c r="L32" s="36"/>
      <c r="M32" s="37"/>
      <c r="N32" s="172"/>
      <c r="Q32" s="38"/>
    </row>
    <row r="33" spans="1:19" x14ac:dyDescent="0.25">
      <c r="A33" s="29"/>
      <c r="B33" s="30"/>
      <c r="C33" s="31"/>
      <c r="D33" s="32"/>
      <c r="E33" s="33"/>
      <c r="F33" s="32"/>
      <c r="G33" s="32"/>
      <c r="H33" s="32"/>
      <c r="I33" s="34"/>
      <c r="J33" s="31"/>
      <c r="K33" s="35"/>
      <c r="L33" s="36"/>
      <c r="M33" s="37"/>
      <c r="N33" s="172"/>
      <c r="Q33" s="38"/>
    </row>
    <row r="34" spans="1:19" x14ac:dyDescent="0.25">
      <c r="A34" s="29"/>
      <c r="B34" s="30"/>
      <c r="C34" s="31"/>
      <c r="D34" s="32"/>
      <c r="E34" s="33"/>
      <c r="F34" s="32"/>
      <c r="G34" s="32"/>
      <c r="H34" s="32"/>
      <c r="I34" s="34"/>
      <c r="J34" s="31"/>
      <c r="K34" s="35"/>
      <c r="L34" s="36"/>
      <c r="M34" s="37"/>
      <c r="N34" s="172"/>
      <c r="Q34" s="38"/>
    </row>
    <row r="35" spans="1:19" x14ac:dyDescent="0.25">
      <c r="A35" s="29"/>
      <c r="B35" s="30"/>
      <c r="C35" s="31"/>
      <c r="D35" s="32"/>
      <c r="E35" s="33"/>
      <c r="F35" s="32"/>
      <c r="G35" s="32"/>
      <c r="H35" s="32"/>
      <c r="I35" s="34"/>
      <c r="J35" s="31"/>
      <c r="K35" s="35"/>
      <c r="L35" s="36"/>
      <c r="M35" s="37"/>
      <c r="N35" s="172"/>
      <c r="Q35" s="38"/>
    </row>
    <row r="36" spans="1:19" x14ac:dyDescent="0.25">
      <c r="A36" s="29"/>
      <c r="B36" s="30"/>
      <c r="C36" s="31"/>
      <c r="D36" s="32"/>
      <c r="E36" s="33"/>
      <c r="F36" s="32"/>
      <c r="G36" s="32"/>
      <c r="H36" s="32"/>
      <c r="I36" s="34"/>
      <c r="J36" s="31"/>
      <c r="K36" s="35"/>
      <c r="L36" s="36"/>
      <c r="M36" s="37"/>
      <c r="N36" s="172"/>
      <c r="Q36" s="38"/>
    </row>
    <row r="37" spans="1:19" x14ac:dyDescent="0.25">
      <c r="A37" s="29"/>
      <c r="B37" s="30"/>
      <c r="C37" s="31"/>
      <c r="D37" s="32"/>
      <c r="E37" s="33"/>
      <c r="F37" s="32"/>
      <c r="G37" s="32"/>
      <c r="H37" s="32"/>
      <c r="I37" s="34"/>
      <c r="J37" s="31"/>
      <c r="K37" s="35"/>
      <c r="L37" s="36"/>
      <c r="M37" s="37"/>
      <c r="N37" s="172"/>
      <c r="Q37" s="38"/>
    </row>
    <row r="38" spans="1:19" x14ac:dyDescent="0.25">
      <c r="A38" s="43"/>
      <c r="B38" s="44"/>
      <c r="C38" s="45"/>
      <c r="D38" s="46"/>
      <c r="E38" s="47"/>
      <c r="F38" s="46"/>
      <c r="G38" s="46"/>
      <c r="H38" s="46"/>
      <c r="I38" s="48"/>
      <c r="J38" s="45"/>
      <c r="K38" s="49"/>
      <c r="L38" s="50"/>
      <c r="M38" s="51"/>
      <c r="N38" s="277"/>
      <c r="O38" s="20"/>
      <c r="P38" s="20"/>
      <c r="Q38" s="39"/>
    </row>
    <row r="39" spans="1:19" ht="16.899999999999999" customHeight="1" x14ac:dyDescent="0.25">
      <c r="A39" s="688" t="str">
        <f>cal!$AK$7&amp;" "&amp;$V$16&amp;" "&amp;ROUND(cal!BK47,1)&amp;IF(cal!$Z$5=1," cm, ",IF(cal!$Z$5=2," in, "))&amp;$V$17&amp;" "&amp;ROUND(cal!BL47,1)&amp;IF(cal!$Z$5=1," cm, ",IF(cal!$Z$5=2," in, "))&amp;$V$18&amp;" "&amp;ROUND(cal!BM47,1)&amp;IF(cal!$Z$5=1," cm ",IF(cal!$Z$5=2," in "))&amp;$S39</f>
        <v>Briza 22 (230V) height 54,5 cm, width 22 cm, length 125 cm (Type 06)</v>
      </c>
      <c r="B39" s="689"/>
      <c r="C39" s="689"/>
      <c r="D39" s="689"/>
      <c r="E39" s="689"/>
      <c r="F39" s="689"/>
      <c r="G39" s="689"/>
      <c r="H39" s="689"/>
      <c r="I39" s="689"/>
      <c r="J39" s="689"/>
      <c r="K39" s="689"/>
      <c r="L39" s="689"/>
      <c r="M39" s="690" t="str">
        <f>$U$27</f>
        <v>Order code:</v>
      </c>
      <c r="N39" s="690"/>
      <c r="O39" s="690"/>
      <c r="P39" s="690"/>
      <c r="Q39" s="691"/>
      <c r="R39" s="207"/>
      <c r="S39" s="207" t="s">
        <v>229</v>
      </c>
    </row>
    <row r="40" spans="1:19" x14ac:dyDescent="0.25">
      <c r="A40" s="29"/>
      <c r="B40" s="30"/>
      <c r="C40" s="31"/>
      <c r="D40" s="32"/>
      <c r="E40" s="33"/>
      <c r="F40" s="32"/>
      <c r="G40" s="32"/>
      <c r="H40" s="32"/>
      <c r="I40" s="34"/>
      <c r="J40" s="31"/>
      <c r="K40" s="35"/>
      <c r="L40" s="36"/>
      <c r="M40" s="37"/>
      <c r="N40" s="172"/>
      <c r="Q40" s="38"/>
    </row>
    <row r="41" spans="1:19" x14ac:dyDescent="0.25">
      <c r="A41" s="29"/>
      <c r="B41" s="30"/>
      <c r="C41" s="31"/>
      <c r="D41" s="32"/>
      <c r="E41" s="33"/>
      <c r="F41" s="32"/>
      <c r="G41" s="32"/>
      <c r="H41" s="32"/>
      <c r="I41" s="34"/>
      <c r="J41" s="31"/>
      <c r="K41" s="35"/>
      <c r="L41" s="36"/>
      <c r="M41" s="37"/>
      <c r="N41" s="172"/>
      <c r="Q41" s="38"/>
    </row>
    <row r="42" spans="1:19" x14ac:dyDescent="0.25">
      <c r="A42" s="29"/>
      <c r="B42" s="30"/>
      <c r="C42" s="31"/>
      <c r="D42" s="32"/>
      <c r="E42" s="33"/>
      <c r="F42" s="32"/>
      <c r="G42" s="32"/>
      <c r="H42" s="32"/>
      <c r="I42" s="34"/>
      <c r="J42" s="31"/>
      <c r="K42" s="35"/>
      <c r="L42" s="36"/>
      <c r="M42" s="37"/>
      <c r="N42" s="172"/>
      <c r="Q42" s="38"/>
    </row>
    <row r="43" spans="1:19" x14ac:dyDescent="0.25">
      <c r="A43" s="29"/>
      <c r="B43" s="30"/>
      <c r="C43" s="31"/>
      <c r="D43" s="32"/>
      <c r="E43" s="33"/>
      <c r="F43" s="32"/>
      <c r="G43" s="32"/>
      <c r="H43" s="32"/>
      <c r="I43" s="34"/>
      <c r="J43" s="31"/>
      <c r="K43" s="35"/>
      <c r="L43" s="36"/>
      <c r="M43" s="37"/>
      <c r="N43" s="172"/>
      <c r="Q43" s="38"/>
    </row>
    <row r="44" spans="1:19" x14ac:dyDescent="0.25">
      <c r="A44" s="29"/>
      <c r="B44" s="30"/>
      <c r="C44" s="31"/>
      <c r="D44" s="32"/>
      <c r="E44" s="33"/>
      <c r="F44" s="32"/>
      <c r="G44" s="32"/>
      <c r="H44" s="32"/>
      <c r="I44" s="34"/>
      <c r="J44" s="31"/>
      <c r="K44" s="35"/>
      <c r="L44" s="36"/>
      <c r="M44" s="37"/>
      <c r="N44" s="172"/>
      <c r="Q44" s="38"/>
    </row>
    <row r="45" spans="1:19" x14ac:dyDescent="0.25">
      <c r="A45" s="29"/>
      <c r="B45" s="30"/>
      <c r="C45" s="31"/>
      <c r="D45" s="32"/>
      <c r="E45" s="33"/>
      <c r="F45" s="32"/>
      <c r="G45" s="32"/>
      <c r="H45" s="32"/>
      <c r="I45" s="34"/>
      <c r="J45" s="31"/>
      <c r="K45" s="35"/>
      <c r="L45" s="36"/>
      <c r="M45" s="37"/>
      <c r="N45" s="172"/>
      <c r="Q45" s="38"/>
    </row>
    <row r="46" spans="1:19" x14ac:dyDescent="0.25">
      <c r="A46" s="43"/>
      <c r="B46" s="44"/>
      <c r="C46" s="45"/>
      <c r="D46" s="46"/>
      <c r="E46" s="47"/>
      <c r="F46" s="46"/>
      <c r="G46" s="46"/>
      <c r="H46" s="46"/>
      <c r="I46" s="48"/>
      <c r="J46" s="45"/>
      <c r="K46" s="49"/>
      <c r="L46" s="50"/>
      <c r="M46" s="51"/>
      <c r="N46" s="277"/>
      <c r="O46" s="20"/>
      <c r="P46" s="20"/>
      <c r="Q46" s="39"/>
    </row>
    <row r="47" spans="1:19" x14ac:dyDescent="0.25">
      <c r="A47" s="688" t="str">
        <f>cal!$AK$7&amp;" "&amp;$V$16&amp;" "&amp;ROUND(cal!BK55,1)&amp;IF(cal!$Z$5=1," cm, ",IF(cal!$Z$5=2," in, "))&amp;$V$17&amp;" "&amp;ROUND(cal!BL55,1)&amp;IF(cal!$Z$5=1," cm, ",IF(cal!$Z$5=2," in, "))&amp;$V$18&amp;" "&amp;ROUND(cal!BM55,1)&amp;IF(cal!$Z$5=1," cm ",IF(cal!$Z$5=2," in "))&amp;$S47</f>
        <v>Briza 22 (230V) height 54,5 cm, width 22 cm, length 155 cm (Type 08)</v>
      </c>
      <c r="B47" s="689"/>
      <c r="C47" s="689"/>
      <c r="D47" s="689"/>
      <c r="E47" s="689"/>
      <c r="F47" s="689"/>
      <c r="G47" s="689"/>
      <c r="H47" s="689"/>
      <c r="I47" s="689"/>
      <c r="J47" s="689"/>
      <c r="K47" s="689"/>
      <c r="L47" s="689"/>
      <c r="M47" s="690" t="str">
        <f>$U$27</f>
        <v>Order code:</v>
      </c>
      <c r="N47" s="690"/>
      <c r="O47" s="690"/>
      <c r="P47" s="690"/>
      <c r="Q47" s="691"/>
      <c r="R47" s="207"/>
      <c r="S47" s="207" t="s">
        <v>230</v>
      </c>
    </row>
    <row r="48" spans="1:19" x14ac:dyDescent="0.25">
      <c r="A48" s="29"/>
      <c r="B48" s="30"/>
      <c r="C48" s="31"/>
      <c r="D48" s="32"/>
      <c r="E48" s="33"/>
      <c r="F48" s="32"/>
      <c r="G48" s="32"/>
      <c r="H48" s="32"/>
      <c r="I48" s="34"/>
      <c r="J48" s="31"/>
      <c r="K48" s="35"/>
      <c r="L48" s="36"/>
      <c r="M48" s="37"/>
      <c r="N48" s="172"/>
      <c r="Q48" s="38"/>
    </row>
    <row r="49" spans="1:19" x14ac:dyDescent="0.25">
      <c r="A49" s="29"/>
      <c r="B49" s="30"/>
      <c r="C49" s="31"/>
      <c r="D49" s="32"/>
      <c r="E49" s="33"/>
      <c r="F49" s="32"/>
      <c r="G49" s="32"/>
      <c r="H49" s="32"/>
      <c r="I49" s="34"/>
      <c r="J49" s="31"/>
      <c r="K49" s="35"/>
      <c r="L49" s="36"/>
      <c r="M49" s="37"/>
      <c r="N49" s="172"/>
      <c r="Q49" s="38"/>
    </row>
    <row r="50" spans="1:19" x14ac:dyDescent="0.25">
      <c r="A50" s="29"/>
      <c r="B50" s="30"/>
      <c r="C50" s="31"/>
      <c r="D50" s="32"/>
      <c r="E50" s="33"/>
      <c r="F50" s="32"/>
      <c r="G50" s="32"/>
      <c r="H50" s="32"/>
      <c r="I50" s="34"/>
      <c r="J50" s="31"/>
      <c r="K50" s="35"/>
      <c r="L50" s="36"/>
      <c r="M50" s="37"/>
      <c r="N50" s="172"/>
      <c r="Q50" s="38"/>
    </row>
    <row r="51" spans="1:19" x14ac:dyDescent="0.25">
      <c r="A51" s="29"/>
      <c r="B51" s="30"/>
      <c r="C51" s="31"/>
      <c r="D51" s="32"/>
      <c r="E51" s="33"/>
      <c r="F51" s="32"/>
      <c r="G51" s="32"/>
      <c r="H51" s="32"/>
      <c r="I51" s="34"/>
      <c r="J51" s="31"/>
      <c r="K51" s="35"/>
      <c r="L51" s="36"/>
      <c r="M51" s="37"/>
      <c r="N51" s="172"/>
      <c r="Q51" s="38"/>
    </row>
    <row r="52" spans="1:19" x14ac:dyDescent="0.25">
      <c r="A52" s="29"/>
      <c r="B52" s="30"/>
      <c r="C52" s="31"/>
      <c r="D52" s="32"/>
      <c r="E52" s="33"/>
      <c r="F52" s="32"/>
      <c r="G52" s="32"/>
      <c r="H52" s="32"/>
      <c r="I52" s="34"/>
      <c r="J52" s="31"/>
      <c r="K52" s="35"/>
      <c r="L52" s="36"/>
      <c r="M52" s="37"/>
      <c r="N52" s="172"/>
      <c r="Q52" s="38"/>
    </row>
    <row r="53" spans="1:19" x14ac:dyDescent="0.25">
      <c r="A53" s="29"/>
      <c r="B53" s="30"/>
      <c r="C53" s="31"/>
      <c r="D53" s="32"/>
      <c r="E53" s="33"/>
      <c r="F53" s="32"/>
      <c r="G53" s="32"/>
      <c r="H53" s="32"/>
      <c r="I53" s="34"/>
      <c r="J53" s="31"/>
      <c r="K53" s="35"/>
      <c r="L53" s="36"/>
      <c r="M53" s="37"/>
      <c r="N53" s="172"/>
      <c r="Q53" s="38"/>
    </row>
    <row r="54" spans="1:19" x14ac:dyDescent="0.25">
      <c r="A54" s="43"/>
      <c r="B54" s="44"/>
      <c r="C54" s="45"/>
      <c r="D54" s="46"/>
      <c r="E54" s="47"/>
      <c r="F54" s="46"/>
      <c r="G54" s="46"/>
      <c r="H54" s="46"/>
      <c r="I54" s="48"/>
      <c r="J54" s="45"/>
      <c r="K54" s="49"/>
      <c r="L54" s="50"/>
      <c r="M54" s="51"/>
      <c r="N54" s="277"/>
      <c r="O54" s="20"/>
      <c r="P54" s="20"/>
      <c r="Q54" s="39"/>
    </row>
    <row r="55" spans="1:19" x14ac:dyDescent="0.25">
      <c r="A55" s="688" t="str">
        <f>cal!$AK$7&amp;" "&amp;$V$16&amp;" "&amp;ROUND(cal!BK63,1)&amp;IF(cal!$Z$5=1," cm, ",IF(cal!$Z$5=2," in, "))&amp;$V$17&amp;" "&amp;ROUND(cal!BL63,1)&amp;IF(cal!$Z$5=1," cm, ",IF(cal!$Z$5=2," in, "))&amp;$V$18&amp;" "&amp;ROUND(cal!BM63,1)&amp;IF(cal!$Z$5=1," cm ",IF(cal!$Z$5=2," in "))&amp;$S55</f>
        <v>Briza 22 (230V) height 54,5 cm, width 22 cm, length 190 cm (Type 10)</v>
      </c>
      <c r="B55" s="689"/>
      <c r="C55" s="689"/>
      <c r="D55" s="689"/>
      <c r="E55" s="689"/>
      <c r="F55" s="689"/>
      <c r="G55" s="689"/>
      <c r="H55" s="689"/>
      <c r="I55" s="689"/>
      <c r="J55" s="689"/>
      <c r="K55" s="689"/>
      <c r="L55" s="689"/>
      <c r="M55" s="690" t="str">
        <f>$U$27</f>
        <v>Order code:</v>
      </c>
      <c r="N55" s="690"/>
      <c r="O55" s="690"/>
      <c r="P55" s="690"/>
      <c r="Q55" s="691"/>
      <c r="R55" s="207"/>
      <c r="S55" s="207" t="s">
        <v>231</v>
      </c>
    </row>
    <row r="56" spans="1:19" x14ac:dyDescent="0.25">
      <c r="A56" s="29"/>
      <c r="B56" s="30"/>
      <c r="C56" s="31"/>
      <c r="D56" s="32"/>
      <c r="E56" s="33"/>
      <c r="F56" s="32"/>
      <c r="G56" s="32"/>
      <c r="H56" s="32"/>
      <c r="I56" s="34"/>
      <c r="J56" s="31"/>
      <c r="K56" s="35"/>
      <c r="L56" s="36"/>
      <c r="M56" s="37"/>
      <c r="N56" s="172"/>
      <c r="Q56" s="38"/>
    </row>
    <row r="57" spans="1:19" x14ac:dyDescent="0.25">
      <c r="A57" s="29"/>
      <c r="B57" s="30"/>
      <c r="C57" s="31"/>
      <c r="D57" s="32"/>
      <c r="E57" s="33"/>
      <c r="F57" s="32"/>
      <c r="G57" s="32"/>
      <c r="H57" s="32"/>
      <c r="I57" s="34"/>
      <c r="J57" s="31"/>
      <c r="K57" s="35"/>
      <c r="L57" s="36"/>
      <c r="M57" s="37"/>
      <c r="N57" s="172"/>
      <c r="Q57" s="38"/>
    </row>
    <row r="58" spans="1:19" x14ac:dyDescent="0.25">
      <c r="A58" s="29"/>
      <c r="B58" s="30"/>
      <c r="C58" s="31"/>
      <c r="D58" s="32"/>
      <c r="E58" s="33"/>
      <c r="F58" s="32"/>
      <c r="G58" s="32"/>
      <c r="H58" s="32"/>
      <c r="I58" s="34"/>
      <c r="J58" s="31"/>
      <c r="K58" s="35"/>
      <c r="L58" s="36"/>
      <c r="M58" s="37"/>
      <c r="N58" s="172"/>
      <c r="Q58" s="38"/>
    </row>
    <row r="59" spans="1:19" x14ac:dyDescent="0.25">
      <c r="A59" s="29"/>
      <c r="B59" s="30"/>
      <c r="C59" s="31"/>
      <c r="D59" s="32"/>
      <c r="E59" s="33"/>
      <c r="F59" s="32"/>
      <c r="G59" s="32"/>
      <c r="H59" s="32"/>
      <c r="I59" s="34"/>
      <c r="J59" s="31"/>
      <c r="K59" s="35"/>
      <c r="L59" s="36"/>
      <c r="M59" s="37"/>
      <c r="N59" s="172"/>
      <c r="Q59" s="38"/>
    </row>
    <row r="60" spans="1:19" x14ac:dyDescent="0.25">
      <c r="A60" s="29"/>
      <c r="B60" s="30"/>
      <c r="C60" s="31"/>
      <c r="D60" s="32"/>
      <c r="E60" s="33"/>
      <c r="F60" s="32"/>
      <c r="G60" s="32"/>
      <c r="H60" s="32"/>
      <c r="I60" s="34"/>
      <c r="J60" s="31"/>
      <c r="K60" s="35"/>
      <c r="L60" s="36"/>
      <c r="M60" s="37"/>
      <c r="N60" s="172"/>
      <c r="Q60" s="38"/>
    </row>
    <row r="61" spans="1:19" x14ac:dyDescent="0.25">
      <c r="A61" s="29"/>
      <c r="B61" s="30"/>
      <c r="C61" s="31"/>
      <c r="D61" s="32"/>
      <c r="E61" s="33"/>
      <c r="F61" s="32"/>
      <c r="G61" s="32"/>
      <c r="H61" s="32"/>
      <c r="I61" s="34"/>
      <c r="J61" s="31"/>
      <c r="K61" s="35"/>
      <c r="L61" s="36"/>
      <c r="M61" s="37"/>
      <c r="N61" s="172"/>
      <c r="Q61" s="38"/>
    </row>
    <row r="62" spans="1:19" x14ac:dyDescent="0.25">
      <c r="A62" s="43"/>
      <c r="B62" s="44"/>
      <c r="C62" s="45"/>
      <c r="D62" s="46"/>
      <c r="E62" s="47"/>
      <c r="F62" s="46"/>
      <c r="G62" s="46"/>
      <c r="H62" s="46"/>
      <c r="I62" s="48"/>
      <c r="J62" s="45"/>
      <c r="K62" s="49"/>
      <c r="L62" s="50"/>
      <c r="M62" s="51"/>
      <c r="N62" s="277"/>
      <c r="O62" s="20"/>
      <c r="P62" s="20"/>
      <c r="Q62" s="39"/>
    </row>
    <row r="63" spans="1:19" ht="9.4" customHeight="1" x14ac:dyDescent="0.25">
      <c r="A63" s="40" t="s">
        <v>258</v>
      </c>
      <c r="L63" s="41"/>
      <c r="M63" s="42"/>
      <c r="N63" s="42"/>
      <c r="Q63" s="42">
        <f>cal!Q63</f>
        <v>0</v>
      </c>
      <c r="R63" s="42"/>
      <c r="S63" s="42"/>
    </row>
    <row r="64" spans="1:19" ht="9.4" customHeight="1" x14ac:dyDescent="0.25">
      <c r="A64" s="40" t="s">
        <v>22</v>
      </c>
    </row>
    <row r="65" spans="1:1" ht="9.4" customHeight="1" x14ac:dyDescent="0.25">
      <c r="A65" s="40" t="s">
        <v>23</v>
      </c>
    </row>
    <row r="66" spans="1:1" ht="9.4" customHeight="1" x14ac:dyDescent="0.25">
      <c r="A66" s="40" t="s">
        <v>289</v>
      </c>
    </row>
  </sheetData>
  <sheetProtection selectLockedCells="1"/>
  <mergeCells count="26">
    <mergeCell ref="S7:T7"/>
    <mergeCell ref="G3:J3"/>
    <mergeCell ref="G4:J4"/>
    <mergeCell ref="L6:M6"/>
    <mergeCell ref="L7:M7"/>
    <mergeCell ref="Q7:R7"/>
    <mergeCell ref="A8:C8"/>
    <mergeCell ref="F8:I8"/>
    <mergeCell ref="Q8:R10"/>
    <mergeCell ref="A9:C9"/>
    <mergeCell ref="F9:I9"/>
    <mergeCell ref="L9:M9"/>
    <mergeCell ref="F10:I10"/>
    <mergeCell ref="L10:M10"/>
    <mergeCell ref="A15:L15"/>
    <mergeCell ref="M15:Q15"/>
    <mergeCell ref="A23:L23"/>
    <mergeCell ref="M23:Q23"/>
    <mergeCell ref="A31:L31"/>
    <mergeCell ref="M31:Q31"/>
    <mergeCell ref="A39:L39"/>
    <mergeCell ref="M39:Q39"/>
    <mergeCell ref="A47:L47"/>
    <mergeCell ref="M47:Q47"/>
    <mergeCell ref="A55:L55"/>
    <mergeCell ref="M55:Q55"/>
  </mergeCells>
  <dataValidations count="7">
    <dataValidation type="decimal" errorStyle="information" allowBlank="1" showErrorMessage="1" error="Eingabe außerhalb des gültigen Bereichs." prompt="20°C bis 35°C" sqref="J11" xr:uid="{00000000-0002-0000-0B00-000000000000}">
      <formula1>0.01</formula1>
      <formula2>1</formula2>
    </dataValidation>
    <dataValidation type="whole" errorStyle="information" allowBlank="1" showErrorMessage="1" error="Eingabe außerhalb des gültigen Bereichs." prompt="Eingabe zwischen 5°C bis 20°C" sqref="J8" xr:uid="{00000000-0002-0000-0B00-000001000000}">
      <formula1>5</formula1>
      <formula2>20</formula2>
    </dataValidation>
    <dataValidation type="whole" errorStyle="information" allowBlank="1" showErrorMessage="1" error="Eingabe außerhalb des gültigen Bereichs." prompt="Eingabe zwischen Vorlauftemp. und Raumtemp." sqref="J9" xr:uid="{00000000-0002-0000-0B00-000002000000}">
      <formula1>J8</formula1>
      <formula2>J10</formula2>
    </dataValidation>
    <dataValidation type="whole" errorStyle="information" allowBlank="1" showErrorMessage="1" error="Temperatur außerhalb des gütligen Bereichs." prompt="Eingabe zwischen 30°C bis 95°C" sqref="D8" xr:uid="{00000000-0002-0000-0B00-000003000000}">
      <formula1>30</formula1>
      <formula2>95</formula2>
    </dataValidation>
    <dataValidation type="whole" errorStyle="information" allowBlank="1" showErrorMessage="1" error="Eingabe außerhalb des gültigen Bereichs." prompt="Eingabe zwischen Vorlauftemp. und Raumtemp." sqref="D9" xr:uid="{00000000-0002-0000-0B00-000004000000}">
      <formula1>D10</formula1>
      <formula2>D8</formula2>
    </dataValidation>
    <dataValidation type="whole" errorStyle="information" allowBlank="1" showErrorMessage="1" error="Eingabe außerhalb des gültigen Bereichs." prompt="Eingabe zwischen 16°C bis 30°C" sqref="D10" xr:uid="{00000000-0002-0000-0B00-000005000000}">
      <formula1>16</formula1>
      <formula2>30</formula2>
    </dataValidation>
    <dataValidation type="whole" errorStyle="information" allowBlank="1" showErrorMessage="1" error="Eingabe außerhalb des gültigen Bereichs." prompt="20°C bis 35°C" sqref="J10" xr:uid="{00000000-0002-0000-0B00-000006000000}">
      <formula1>20</formula1>
      <formula2>35</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EN4"/>
  <dimension ref="A1:W66"/>
  <sheetViews>
    <sheetView workbookViewId="0">
      <selection activeCell="K2" sqref="K2:M2"/>
    </sheetView>
  </sheetViews>
  <sheetFormatPr defaultColWidth="9.140625" defaultRowHeight="15" x14ac:dyDescent="0.25"/>
  <cols>
    <col min="1" max="1" width="7" style="2" customWidth="1"/>
    <col min="2" max="2" width="6.140625" style="2" customWidth="1"/>
    <col min="3" max="3" width="7" style="2" customWidth="1"/>
    <col min="4" max="4" width="6.7109375" style="2" customWidth="1"/>
    <col min="5" max="19" width="7" style="2" customWidth="1"/>
    <col min="20" max="16384" width="9.140625" style="2"/>
  </cols>
  <sheetData>
    <row r="1" spans="1:23" x14ac:dyDescent="0.25">
      <c r="A1" s="1"/>
    </row>
    <row r="2" spans="1:23" x14ac:dyDescent="0.25">
      <c r="A2" s="3" t="s">
        <v>26</v>
      </c>
      <c r="B2" s="4"/>
    </row>
    <row r="3" spans="1:23" x14ac:dyDescent="0.25">
      <c r="A3" s="1"/>
      <c r="G3" s="684" t="s">
        <v>170</v>
      </c>
      <c r="H3" s="622">
        <v>0</v>
      </c>
      <c r="I3" s="622">
        <v>0</v>
      </c>
      <c r="J3" s="623">
        <v>0</v>
      </c>
    </row>
    <row r="4" spans="1:23" x14ac:dyDescent="0.25">
      <c r="A4" s="5" t="s">
        <v>24</v>
      </c>
      <c r="G4" s="684" t="s">
        <v>112</v>
      </c>
      <c r="H4" s="622">
        <v>0</v>
      </c>
      <c r="I4" s="622">
        <v>0</v>
      </c>
      <c r="J4" s="623">
        <v>0</v>
      </c>
    </row>
    <row r="5" spans="1:23" ht="6" customHeight="1" thickBot="1" x14ac:dyDescent="0.3">
      <c r="A5" s="6"/>
      <c r="B5" s="7"/>
      <c r="C5" s="7"/>
      <c r="D5" s="7"/>
      <c r="E5" s="7"/>
      <c r="F5" s="7"/>
      <c r="G5" s="7"/>
      <c r="H5" s="7"/>
      <c r="I5" s="7"/>
      <c r="J5" s="7"/>
      <c r="K5" s="7"/>
      <c r="L5" s="7"/>
      <c r="M5" s="7"/>
      <c r="N5" s="7"/>
      <c r="O5" s="7"/>
      <c r="P5" s="7"/>
      <c r="Q5" s="8"/>
      <c r="R5" s="10"/>
      <c r="S5" s="10"/>
    </row>
    <row r="6" spans="1:23" ht="15.75" thickBot="1" x14ac:dyDescent="0.3">
      <c r="A6" s="9" t="s">
        <v>16</v>
      </c>
      <c r="B6" s="10"/>
      <c r="C6" s="10"/>
      <c r="D6" s="10"/>
      <c r="E6" s="10"/>
      <c r="F6" s="10"/>
      <c r="G6" s="10"/>
      <c r="H6" s="10"/>
      <c r="I6" s="10"/>
      <c r="J6" s="10"/>
      <c r="K6" s="10"/>
      <c r="L6" s="686" t="s">
        <v>188</v>
      </c>
      <c r="M6" s="687"/>
      <c r="N6" s="274"/>
      <c r="O6" s="10"/>
      <c r="P6" s="10"/>
      <c r="Q6" s="11"/>
      <c r="R6" s="10"/>
      <c r="S6" s="10"/>
    </row>
    <row r="7" spans="1:23" ht="15.75" thickBot="1" x14ac:dyDescent="0.3">
      <c r="A7" s="9" t="s">
        <v>17</v>
      </c>
      <c r="B7" s="10"/>
      <c r="C7" s="10"/>
      <c r="D7" s="10"/>
      <c r="E7" s="10"/>
      <c r="F7" s="12" t="s">
        <v>18</v>
      </c>
      <c r="G7" s="12"/>
      <c r="H7" s="12"/>
      <c r="I7" s="10"/>
      <c r="J7" s="10"/>
      <c r="K7" s="10"/>
      <c r="L7" s="636"/>
      <c r="M7" s="637"/>
      <c r="N7" s="275"/>
      <c r="O7" s="10"/>
      <c r="P7" s="10"/>
      <c r="Q7" s="552" t="s">
        <v>196</v>
      </c>
      <c r="R7" s="553"/>
      <c r="S7" s="552" t="s">
        <v>308</v>
      </c>
      <c r="T7" s="553"/>
    </row>
    <row r="8" spans="1:23" ht="15.75" thickBot="1" x14ac:dyDescent="0.3">
      <c r="A8" s="685" t="s">
        <v>177</v>
      </c>
      <c r="B8" s="613"/>
      <c r="C8" s="613"/>
      <c r="D8" s="13">
        <f>cal!E10</f>
        <v>65</v>
      </c>
      <c r="E8" s="52" t="str">
        <f>IF(cal!$Z$5=1,"°C",IF(cal!$Z$5=2,"°F"))</f>
        <v>°C</v>
      </c>
      <c r="F8" s="613" t="str">
        <f>A8</f>
        <v>Supply water</v>
      </c>
      <c r="G8" s="613"/>
      <c r="H8" s="613"/>
      <c r="I8" s="613"/>
      <c r="J8" s="13">
        <f>cal!K10</f>
        <v>16</v>
      </c>
      <c r="K8" s="10" t="str">
        <f>E8</f>
        <v>°C</v>
      </c>
      <c r="L8" s="10"/>
      <c r="M8" s="10"/>
      <c r="N8" s="10"/>
      <c r="O8" s="10"/>
      <c r="P8" s="10"/>
      <c r="Q8" s="643"/>
      <c r="R8" s="644"/>
      <c r="S8" s="10"/>
    </row>
    <row r="9" spans="1:23" ht="15.75" thickBot="1" x14ac:dyDescent="0.3">
      <c r="A9" s="685" t="s">
        <v>178</v>
      </c>
      <c r="B9" s="613"/>
      <c r="C9" s="613"/>
      <c r="D9" s="13">
        <f>cal!E11</f>
        <v>55</v>
      </c>
      <c r="E9" s="52" t="str">
        <f>E8</f>
        <v>°C</v>
      </c>
      <c r="F9" s="613" t="str">
        <f>A9</f>
        <v>Return water</v>
      </c>
      <c r="G9" s="613"/>
      <c r="H9" s="613"/>
      <c r="I9" s="614"/>
      <c r="J9" s="13">
        <f>cal!K11</f>
        <v>18</v>
      </c>
      <c r="K9" s="10" t="str">
        <f>E8</f>
        <v>°C</v>
      </c>
      <c r="L9" s="686" t="s">
        <v>185</v>
      </c>
      <c r="M9" s="687"/>
      <c r="N9" s="274"/>
      <c r="O9" s="10"/>
      <c r="P9" s="10"/>
      <c r="Q9" s="645"/>
      <c r="R9" s="646"/>
      <c r="S9" s="10"/>
    </row>
    <row r="10" spans="1:23" ht="15.75" thickBot="1" x14ac:dyDescent="0.3">
      <c r="A10" s="262" t="s">
        <v>179</v>
      </c>
      <c r="B10" s="263"/>
      <c r="C10" s="263"/>
      <c r="D10" s="13">
        <f>cal!E12</f>
        <v>20</v>
      </c>
      <c r="E10" s="52" t="str">
        <f>E8</f>
        <v>°C</v>
      </c>
      <c r="F10" s="613" t="str">
        <f>A10</f>
        <v>Entering air (dry bulb)</v>
      </c>
      <c r="G10" s="613"/>
      <c r="H10" s="613"/>
      <c r="I10" s="614"/>
      <c r="J10" s="13">
        <f>cal!K12</f>
        <v>27</v>
      </c>
      <c r="K10" s="10" t="str">
        <f>E8</f>
        <v>°C</v>
      </c>
      <c r="L10" s="641"/>
      <c r="M10" s="642"/>
      <c r="N10" s="276"/>
      <c r="O10" s="10"/>
      <c r="P10" s="10"/>
      <c r="Q10" s="645"/>
      <c r="R10" s="646"/>
      <c r="S10" s="10"/>
      <c r="U10" s="2" t="s">
        <v>323</v>
      </c>
    </row>
    <row r="11" spans="1:23" x14ac:dyDescent="0.25">
      <c r="A11" s="262" t="s">
        <v>181</v>
      </c>
      <c r="B11" s="263"/>
      <c r="C11" s="263"/>
      <c r="D11" s="10"/>
      <c r="E11" s="10"/>
      <c r="F11" s="10" t="s">
        <v>141</v>
      </c>
      <c r="G11" s="10"/>
      <c r="H11" s="10"/>
      <c r="I11" s="10"/>
      <c r="J11" s="15">
        <f>cal!K14</f>
        <v>0.5</v>
      </c>
      <c r="K11" s="10"/>
      <c r="L11" s="10"/>
      <c r="M11" s="10"/>
      <c r="N11" s="10"/>
      <c r="O11" s="10"/>
      <c r="P11" s="10"/>
      <c r="Q11" s="11"/>
      <c r="R11" s="10"/>
      <c r="S11" s="10"/>
      <c r="U11" s="2" t="s">
        <v>324</v>
      </c>
    </row>
    <row r="12" spans="1:23" ht="6" customHeight="1" x14ac:dyDescent="0.25">
      <c r="A12" s="16"/>
      <c r="B12" s="17"/>
      <c r="C12" s="17"/>
      <c r="D12" s="17"/>
      <c r="E12" s="18"/>
      <c r="F12" s="18"/>
      <c r="G12" s="18"/>
      <c r="H12" s="18"/>
      <c r="I12" s="18"/>
      <c r="J12" s="18"/>
      <c r="K12" s="18"/>
      <c r="L12" s="18"/>
      <c r="M12" s="18"/>
      <c r="N12" s="18"/>
      <c r="O12" s="18"/>
      <c r="P12" s="18"/>
      <c r="Q12" s="19"/>
      <c r="R12" s="10"/>
      <c r="S12" s="10"/>
    </row>
    <row r="13" spans="1:23" x14ac:dyDescent="0.25">
      <c r="A13" s="20"/>
      <c r="B13" s="20"/>
      <c r="C13" s="20"/>
      <c r="D13" s="20"/>
      <c r="E13" s="20"/>
      <c r="F13" s="20"/>
      <c r="G13" s="20"/>
      <c r="H13" s="20"/>
      <c r="I13" s="20"/>
      <c r="J13" s="20"/>
      <c r="K13" s="20"/>
      <c r="L13" s="20"/>
      <c r="M13" s="20"/>
    </row>
    <row r="14" spans="1:23" s="28" customFormat="1" ht="95.45" customHeight="1" x14ac:dyDescent="0.25">
      <c r="A14" s="21" t="s">
        <v>372</v>
      </c>
      <c r="B14" s="22" t="s">
        <v>19</v>
      </c>
      <c r="C14" s="21" t="str">
        <f>CONCATENATE("Heat output * ",ROUND(D8,0),"/",ROUND(D9,0),"/",ROUND(D10,0)," ["&amp;IF(cal!$Z$5=1,"W",IF(cal!$Z$5=2,"Btu/h"))&amp;"]")</f>
        <v>Heat output * 65/55/20 [W]</v>
      </c>
      <c r="D14" s="23" t="str">
        <f>"Water flowrate, heating ["&amp;IF(cal!$Z$5=1,"l/h",IF(cal!$Z$5=2,"GPM"))&amp;"]"</f>
        <v>Water flowrate, heating [l/h]</v>
      </c>
      <c r="E14" s="24" t="str">
        <f>"Water side pressure loss ["&amp;IF(cal!$Z$5=1,"kPa",IF(cal!$Z$5=2,"ftH2O"))&amp;"]"</f>
        <v>Water side pressure loss [kPa]</v>
      </c>
      <c r="F14" s="22" t="str">
        <f>CONCATENATE("Sens. cooling capacity * ",ROUND(J8,0),"/",ROUND(J9,0),"/",ROUND(J10,0)," ["&amp;IF(cal!$Z$5=1,"W",IF(cal!$Z$5=2,"Btu/h"))&amp;"]")</f>
        <v>Sens. cooling capacity * 16/18/27 [W]</v>
      </c>
      <c r="G14" s="22" t="str">
        <f>CONCATENATE("Tot. cooling capacity ",ROUND(J8,0),"/",ROUND(J9,0),"/",ROUND(J10,0)," ["&amp;IF(cal!$Z$5=1,"W",IF(cal!$Z$5=2,"Btu/h"))&amp;"]")</f>
        <v>Tot. cooling capacity 16/18/27 [W]</v>
      </c>
      <c r="H14" s="22" t="str">
        <f>"Water flowrate, cooling ["&amp;IF(cal!$Z$5=1,"l/h",IF(cal!$Z$5=2,"GPM"))&amp;"]"</f>
        <v>Water flowrate, cooling [l/h]</v>
      </c>
      <c r="I14" s="25" t="str">
        <f>E14</f>
        <v>Water side pressure loss [kPa]</v>
      </c>
      <c r="J14" s="21" t="s">
        <v>20</v>
      </c>
      <c r="K14" s="26" t="s">
        <v>36</v>
      </c>
      <c r="L14" s="22" t="s">
        <v>21</v>
      </c>
      <c r="M14" s="27" t="str">
        <f>"Air flowrate ["&amp;IF(cal!$Z$5=1,"m³/h",IF(cal!$Z$5=2,"CFM"))&amp;"]"</f>
        <v>Air flowrate [m³/h]</v>
      </c>
      <c r="N14" s="27" t="str">
        <f>"Face velocity ["&amp;IF(cal!$Z$5=1,"m/s",IF(cal!$Z$5=2,"ft/min"))&amp;"]"</f>
        <v>Face velocity [m/s]</v>
      </c>
      <c r="O14" s="209" t="str">
        <f>"Air exhaust temp. heating ["&amp;IF(cal!$Z$5=1,"°C",IF(cal!$Z$5=2,"°F"))&amp;"]"</f>
        <v>Air exhaust temp. heating [°C]</v>
      </c>
      <c r="P14" s="209" t="str">
        <f>"Air exhaust temp. heating (wet bulb) ["&amp;IF(cal!$Z$5=1,"°C",IF(cal!$Z$5=2,"°F"))&amp;"]"</f>
        <v>Air exhaust temp. heating (wet bulb) [°C]</v>
      </c>
      <c r="Q14" s="210" t="str">
        <f>"Air exhaust temp. cooling (dry bulb) ["&amp;IF(cal!$Z$5=1,"°C",IF(cal!$Z$5=2,"°F"))&amp;"]"</f>
        <v>Air exhaust temp. cooling (dry bulb) [°C]</v>
      </c>
      <c r="R14" s="210" t="str">
        <f>"Air exhaust temp. cooling (wet bulb) ["&amp;IF(cal!$Z$5=1,"°C",IF(cal!$Z$5=2,"°F"))&amp;"]"</f>
        <v>Air exhaust temp. cooling (wet bulb) [°C]</v>
      </c>
      <c r="S14" s="211" t="s">
        <v>133</v>
      </c>
      <c r="T14" s="211" t="s">
        <v>298</v>
      </c>
      <c r="U14" s="28" t="s">
        <v>359</v>
      </c>
    </row>
    <row r="15" spans="1:23" ht="18" customHeight="1" x14ac:dyDescent="0.25">
      <c r="A15" s="688" t="str">
        <f>cal!$AK$7&amp;" "&amp;$V$16&amp;" "&amp;ROUND(cal!BK23,1)&amp;IF(cal!$Z$5=1," cm, ",IF(cal!$Z$5=2," in, "))&amp;$V$17&amp;" "&amp;ROUND(cal!BL23,1)&amp;IF(cal!$Z$5=1," cm, ",IF(cal!$Z$5=2," in, "))&amp;$V$18&amp;" "&amp;ROUND(cal!BM23,1)&amp;IF(cal!$Z$5=1," cm ",IF(cal!$Z$5=2," in "))&amp;$S15</f>
        <v>Briza 22 (230V) height 54,5 cm, width 22 cm, length 55 cm (Type 02)</v>
      </c>
      <c r="B15" s="689"/>
      <c r="C15" s="689"/>
      <c r="D15" s="689"/>
      <c r="E15" s="689"/>
      <c r="F15" s="689"/>
      <c r="G15" s="689"/>
      <c r="H15" s="689"/>
      <c r="I15" s="689"/>
      <c r="J15" s="689"/>
      <c r="K15" s="689"/>
      <c r="L15" s="689"/>
      <c r="M15" s="690" t="str">
        <f>$U$27</f>
        <v>Order code:</v>
      </c>
      <c r="N15" s="690"/>
      <c r="O15" s="690"/>
      <c r="P15" s="690"/>
      <c r="Q15" s="691"/>
      <c r="R15" s="207"/>
      <c r="S15" s="207" t="s">
        <v>226</v>
      </c>
    </row>
    <row r="16" spans="1:23" x14ac:dyDescent="0.25">
      <c r="A16" s="29"/>
      <c r="B16" s="30"/>
      <c r="C16" s="31"/>
      <c r="D16" s="32"/>
      <c r="E16" s="33"/>
      <c r="F16" s="32"/>
      <c r="G16" s="32"/>
      <c r="H16" s="32"/>
      <c r="I16" s="34"/>
      <c r="J16" s="31"/>
      <c r="K16" s="35"/>
      <c r="L16" s="36"/>
      <c r="M16" s="37"/>
      <c r="N16" s="172"/>
      <c r="Q16" s="38"/>
      <c r="U16" s="2" t="s">
        <v>75</v>
      </c>
      <c r="V16" s="2" t="s">
        <v>235</v>
      </c>
      <c r="W16" s="517" t="s">
        <v>419</v>
      </c>
    </row>
    <row r="17" spans="1:23" x14ac:dyDescent="0.25">
      <c r="A17" s="29"/>
      <c r="B17" s="30"/>
      <c r="C17" s="31"/>
      <c r="D17" s="32"/>
      <c r="E17" s="33"/>
      <c r="F17" s="32"/>
      <c r="G17" s="32"/>
      <c r="H17" s="32"/>
      <c r="I17" s="34"/>
      <c r="J17" s="31"/>
      <c r="K17" s="35"/>
      <c r="L17" s="36"/>
      <c r="M17" s="37"/>
      <c r="N17" s="172"/>
      <c r="Q17" s="38"/>
      <c r="U17" s="2" t="s">
        <v>165</v>
      </c>
      <c r="V17" s="2" t="s">
        <v>236</v>
      </c>
      <c r="W17" s="517" t="s">
        <v>420</v>
      </c>
    </row>
    <row r="18" spans="1:23" x14ac:dyDescent="0.25">
      <c r="A18" s="29"/>
      <c r="B18" s="30"/>
      <c r="C18" s="31"/>
      <c r="D18" s="32"/>
      <c r="E18" s="33"/>
      <c r="F18" s="32"/>
      <c r="G18" s="32"/>
      <c r="H18" s="32"/>
      <c r="I18" s="34"/>
      <c r="J18" s="31"/>
      <c r="K18" s="35"/>
      <c r="L18" s="36"/>
      <c r="M18" s="37"/>
      <c r="N18" s="172"/>
      <c r="Q18" s="38"/>
      <c r="U18" s="2" t="s">
        <v>166</v>
      </c>
      <c r="V18" s="2" t="s">
        <v>237</v>
      </c>
      <c r="W18" s="517" t="s">
        <v>421</v>
      </c>
    </row>
    <row r="19" spans="1:23" x14ac:dyDescent="0.25">
      <c r="A19" s="29"/>
      <c r="B19" s="30"/>
      <c r="C19" s="31"/>
      <c r="D19" s="32"/>
      <c r="E19" s="33"/>
      <c r="F19" s="32"/>
      <c r="G19" s="32"/>
      <c r="H19" s="32"/>
      <c r="I19" s="34"/>
      <c r="J19" s="31"/>
      <c r="K19" s="35"/>
      <c r="L19" s="36"/>
      <c r="M19" s="37"/>
      <c r="N19" s="172"/>
      <c r="Q19" s="38"/>
      <c r="U19" s="2" t="s">
        <v>167</v>
      </c>
      <c r="W19" s="2" t="s">
        <v>483</v>
      </c>
    </row>
    <row r="20" spans="1:23" x14ac:dyDescent="0.25">
      <c r="A20" s="29"/>
      <c r="B20" s="30"/>
      <c r="C20" s="31"/>
      <c r="D20" s="32"/>
      <c r="E20" s="33"/>
      <c r="F20" s="32"/>
      <c r="G20" s="32"/>
      <c r="H20" s="32"/>
      <c r="I20" s="34"/>
      <c r="J20" s="31"/>
      <c r="K20" s="35"/>
      <c r="L20" s="36"/>
      <c r="M20" s="37"/>
      <c r="N20" s="172"/>
      <c r="Q20" s="38"/>
      <c r="W20" s="2" t="s">
        <v>484</v>
      </c>
    </row>
    <row r="21" spans="1:23" x14ac:dyDescent="0.25">
      <c r="A21" s="29"/>
      <c r="B21" s="30"/>
      <c r="C21" s="31"/>
      <c r="D21" s="32"/>
      <c r="E21" s="33"/>
      <c r="F21" s="32"/>
      <c r="G21" s="32"/>
      <c r="H21" s="32"/>
      <c r="I21" s="34"/>
      <c r="J21" s="31"/>
      <c r="K21" s="35"/>
      <c r="L21" s="36"/>
      <c r="M21" s="37"/>
      <c r="N21" s="172"/>
      <c r="Q21" s="38"/>
      <c r="W21" s="2" t="s">
        <v>485</v>
      </c>
    </row>
    <row r="22" spans="1:23" x14ac:dyDescent="0.25">
      <c r="A22" s="43"/>
      <c r="B22" s="44"/>
      <c r="C22" s="45"/>
      <c r="D22" s="46"/>
      <c r="E22" s="47"/>
      <c r="F22" s="46"/>
      <c r="G22" s="46"/>
      <c r="H22" s="46"/>
      <c r="I22" s="48"/>
      <c r="J22" s="45"/>
      <c r="K22" s="49"/>
      <c r="L22" s="50"/>
      <c r="M22" s="51"/>
      <c r="N22" s="277"/>
      <c r="O22" s="20"/>
      <c r="P22" s="20"/>
      <c r="Q22" s="39"/>
      <c r="U22" s="2" t="s">
        <v>335</v>
      </c>
      <c r="W22" s="2" t="s">
        <v>486</v>
      </c>
    </row>
    <row r="23" spans="1:23" ht="16.899999999999999" customHeight="1" x14ac:dyDescent="0.25">
      <c r="A23" s="688" t="str">
        <f>cal!$AK$7&amp;" "&amp;$V$16&amp;" "&amp;ROUND(cal!BK31,1)&amp;IF(cal!$Z$5=1," cm, ",IF(cal!$Z$5=2," in, "))&amp;$V$17&amp;" "&amp;ROUND(cal!BL31,1)&amp;IF(cal!$Z$5=1," cm, ",IF(cal!$Z$5=2," in, "))&amp;$V$18&amp;" "&amp;ROUND(cal!BM31,1)&amp;IF(cal!$Z$5=1," cm ",IF(cal!$Z$5=2," in "))&amp;$S23</f>
        <v>Briza 22 (230V) height 54,5 cm, width 22 cm, length 75 cm (Type 03)</v>
      </c>
      <c r="B23" s="689"/>
      <c r="C23" s="689"/>
      <c r="D23" s="689"/>
      <c r="E23" s="689"/>
      <c r="F23" s="689"/>
      <c r="G23" s="689"/>
      <c r="H23" s="689"/>
      <c r="I23" s="689"/>
      <c r="J23" s="689"/>
      <c r="K23" s="689"/>
      <c r="L23" s="689"/>
      <c r="M23" s="690" t="str">
        <f>$U$27</f>
        <v>Order code:</v>
      </c>
      <c r="N23" s="690"/>
      <c r="O23" s="690"/>
      <c r="P23" s="690"/>
      <c r="Q23" s="691"/>
      <c r="R23" s="207"/>
      <c r="S23" s="207" t="s">
        <v>227</v>
      </c>
      <c r="W23" s="2" t="s">
        <v>487</v>
      </c>
    </row>
    <row r="24" spans="1:23" x14ac:dyDescent="0.25">
      <c r="A24" s="29"/>
      <c r="B24" s="30"/>
      <c r="C24" s="31"/>
      <c r="D24" s="32"/>
      <c r="E24" s="33"/>
      <c r="F24" s="32"/>
      <c r="G24" s="32"/>
      <c r="H24" s="32"/>
      <c r="I24" s="34"/>
      <c r="J24" s="31"/>
      <c r="K24" s="35"/>
      <c r="L24" s="36"/>
      <c r="M24" s="37"/>
      <c r="N24" s="172"/>
      <c r="Q24" s="38"/>
      <c r="U24" s="2" t="s">
        <v>340</v>
      </c>
    </row>
    <row r="25" spans="1:23" x14ac:dyDescent="0.25">
      <c r="A25" s="29"/>
      <c r="B25" s="30"/>
      <c r="C25" s="31"/>
      <c r="D25" s="32"/>
      <c r="E25" s="33"/>
      <c r="F25" s="32"/>
      <c r="G25" s="32"/>
      <c r="H25" s="32"/>
      <c r="I25" s="34"/>
      <c r="J25" s="31"/>
      <c r="K25" s="35"/>
      <c r="L25" s="36"/>
      <c r="M25" s="37"/>
      <c r="N25" s="172"/>
      <c r="Q25" s="38"/>
      <c r="U25" s="2" t="s">
        <v>341</v>
      </c>
    </row>
    <row r="26" spans="1:23" x14ac:dyDescent="0.25">
      <c r="A26" s="29"/>
      <c r="B26" s="30"/>
      <c r="C26" s="31"/>
      <c r="D26" s="32"/>
      <c r="E26" s="33"/>
      <c r="F26" s="32"/>
      <c r="G26" s="32"/>
      <c r="H26" s="32"/>
      <c r="I26" s="34"/>
      <c r="J26" s="31"/>
      <c r="K26" s="35"/>
      <c r="L26" s="36"/>
      <c r="M26" s="37"/>
      <c r="N26" s="172"/>
      <c r="Q26" s="38"/>
    </row>
    <row r="27" spans="1:23" x14ac:dyDescent="0.25">
      <c r="A27" s="29"/>
      <c r="B27" s="30"/>
      <c r="C27" s="31"/>
      <c r="D27" s="32"/>
      <c r="E27" s="33"/>
      <c r="F27" s="32"/>
      <c r="G27" s="32"/>
      <c r="H27" s="32"/>
      <c r="I27" s="34"/>
      <c r="J27" s="31"/>
      <c r="K27" s="35"/>
      <c r="L27" s="36"/>
      <c r="M27" s="37"/>
      <c r="N27" s="172"/>
      <c r="Q27" s="38"/>
      <c r="U27" s="2" t="s">
        <v>353</v>
      </c>
    </row>
    <row r="28" spans="1:23" x14ac:dyDescent="0.25">
      <c r="A28" s="29"/>
      <c r="B28" s="30"/>
      <c r="C28" s="31"/>
      <c r="D28" s="32"/>
      <c r="E28" s="33"/>
      <c r="F28" s="32"/>
      <c r="G28" s="32"/>
      <c r="H28" s="32"/>
      <c r="I28" s="34"/>
      <c r="J28" s="31"/>
      <c r="K28" s="35"/>
      <c r="L28" s="36"/>
      <c r="M28" s="37"/>
      <c r="N28" s="172"/>
      <c r="Q28" s="38"/>
    </row>
    <row r="29" spans="1:23" x14ac:dyDescent="0.25">
      <c r="A29" s="29"/>
      <c r="B29" s="30"/>
      <c r="C29" s="31"/>
      <c r="D29" s="32"/>
      <c r="E29" s="33"/>
      <c r="F29" s="32"/>
      <c r="G29" s="32"/>
      <c r="H29" s="32"/>
      <c r="I29" s="34"/>
      <c r="J29" s="31"/>
      <c r="K29" s="35"/>
      <c r="L29" s="36"/>
      <c r="M29" s="37"/>
      <c r="N29" s="172"/>
      <c r="Q29" s="38"/>
    </row>
    <row r="30" spans="1:23" x14ac:dyDescent="0.25">
      <c r="A30" s="43"/>
      <c r="B30" s="44"/>
      <c r="C30" s="45"/>
      <c r="D30" s="46"/>
      <c r="E30" s="47"/>
      <c r="F30" s="46"/>
      <c r="G30" s="46"/>
      <c r="H30" s="46"/>
      <c r="I30" s="48"/>
      <c r="J30" s="45"/>
      <c r="K30" s="49"/>
      <c r="L30" s="50"/>
      <c r="M30" s="51"/>
      <c r="N30" s="277"/>
      <c r="O30" s="20"/>
      <c r="P30" s="20"/>
      <c r="Q30" s="39"/>
    </row>
    <row r="31" spans="1:23" ht="18" customHeight="1" x14ac:dyDescent="0.25">
      <c r="A31" s="688" t="str">
        <f>cal!$AK$7&amp;" "&amp;$V$16&amp;" "&amp;ROUND(cal!BK39,1)&amp;IF(cal!$Z$5=1," cm, ",IF(cal!$Z$5=2," in, "))&amp;$V$17&amp;" "&amp;ROUND(cal!BL39,1)&amp;IF(cal!$Z$5=1," cm, ",IF(cal!$Z$5=2," in, "))&amp;$V$18&amp;" "&amp;ROUND(cal!BM39,1)&amp;IF(cal!$Z$5=1," cm ",IF(cal!$Z$5=2," in "))&amp;$S31</f>
        <v>Briza 22 (230V) height 54,5 cm, width 22 cm, length 95 cm (Type 04)</v>
      </c>
      <c r="B31" s="689"/>
      <c r="C31" s="689"/>
      <c r="D31" s="689"/>
      <c r="E31" s="689"/>
      <c r="F31" s="689"/>
      <c r="G31" s="689"/>
      <c r="H31" s="689"/>
      <c r="I31" s="689"/>
      <c r="J31" s="689"/>
      <c r="K31" s="689"/>
      <c r="L31" s="689"/>
      <c r="M31" s="690" t="str">
        <f>$U$27</f>
        <v>Order code:</v>
      </c>
      <c r="N31" s="690"/>
      <c r="O31" s="690"/>
      <c r="P31" s="690"/>
      <c r="Q31" s="691"/>
      <c r="R31" s="207"/>
      <c r="S31" s="207" t="s">
        <v>228</v>
      </c>
    </row>
    <row r="32" spans="1:23" x14ac:dyDescent="0.25">
      <c r="A32" s="29"/>
      <c r="B32" s="30"/>
      <c r="C32" s="31"/>
      <c r="D32" s="32"/>
      <c r="E32" s="33"/>
      <c r="F32" s="32"/>
      <c r="G32" s="32"/>
      <c r="H32" s="32"/>
      <c r="I32" s="34"/>
      <c r="J32" s="31"/>
      <c r="K32" s="35"/>
      <c r="L32" s="36"/>
      <c r="M32" s="37"/>
      <c r="N32" s="172"/>
      <c r="Q32" s="38"/>
    </row>
    <row r="33" spans="1:19" x14ac:dyDescent="0.25">
      <c r="A33" s="29"/>
      <c r="B33" s="30"/>
      <c r="C33" s="31"/>
      <c r="D33" s="32"/>
      <c r="E33" s="33"/>
      <c r="F33" s="32"/>
      <c r="G33" s="32"/>
      <c r="H33" s="32"/>
      <c r="I33" s="34"/>
      <c r="J33" s="31"/>
      <c r="K33" s="35"/>
      <c r="L33" s="36"/>
      <c r="M33" s="37"/>
      <c r="N33" s="172"/>
      <c r="Q33" s="38"/>
    </row>
    <row r="34" spans="1:19" x14ac:dyDescent="0.25">
      <c r="A34" s="29"/>
      <c r="B34" s="30"/>
      <c r="C34" s="31"/>
      <c r="D34" s="32"/>
      <c r="E34" s="33"/>
      <c r="F34" s="32"/>
      <c r="G34" s="32"/>
      <c r="H34" s="32"/>
      <c r="I34" s="34"/>
      <c r="J34" s="31"/>
      <c r="K34" s="35"/>
      <c r="L34" s="36"/>
      <c r="M34" s="37"/>
      <c r="N34" s="172"/>
      <c r="Q34" s="38"/>
    </row>
    <row r="35" spans="1:19" x14ac:dyDescent="0.25">
      <c r="A35" s="29"/>
      <c r="B35" s="30"/>
      <c r="C35" s="31"/>
      <c r="D35" s="32"/>
      <c r="E35" s="33"/>
      <c r="F35" s="32"/>
      <c r="G35" s="32"/>
      <c r="H35" s="32"/>
      <c r="I35" s="34"/>
      <c r="J35" s="31"/>
      <c r="K35" s="35"/>
      <c r="L35" s="36"/>
      <c r="M35" s="37"/>
      <c r="N35" s="172"/>
      <c r="Q35" s="38"/>
    </row>
    <row r="36" spans="1:19" x14ac:dyDescent="0.25">
      <c r="A36" s="29"/>
      <c r="B36" s="30"/>
      <c r="C36" s="31"/>
      <c r="D36" s="32"/>
      <c r="E36" s="33"/>
      <c r="F36" s="32"/>
      <c r="G36" s="32"/>
      <c r="H36" s="32"/>
      <c r="I36" s="34"/>
      <c r="J36" s="31"/>
      <c r="K36" s="35"/>
      <c r="L36" s="36"/>
      <c r="M36" s="37"/>
      <c r="N36" s="172"/>
      <c r="Q36" s="38"/>
    </row>
    <row r="37" spans="1:19" x14ac:dyDescent="0.25">
      <c r="A37" s="29"/>
      <c r="B37" s="30"/>
      <c r="C37" s="31"/>
      <c r="D37" s="32"/>
      <c r="E37" s="33"/>
      <c r="F37" s="32"/>
      <c r="G37" s="32"/>
      <c r="H37" s="32"/>
      <c r="I37" s="34"/>
      <c r="J37" s="31"/>
      <c r="K37" s="35"/>
      <c r="L37" s="36"/>
      <c r="M37" s="37"/>
      <c r="N37" s="172"/>
      <c r="Q37" s="38"/>
    </row>
    <row r="38" spans="1:19" x14ac:dyDescent="0.25">
      <c r="A38" s="43"/>
      <c r="B38" s="44"/>
      <c r="C38" s="45"/>
      <c r="D38" s="46"/>
      <c r="E38" s="47"/>
      <c r="F38" s="46"/>
      <c r="G38" s="46"/>
      <c r="H38" s="46"/>
      <c r="I38" s="48"/>
      <c r="J38" s="45"/>
      <c r="K38" s="49"/>
      <c r="L38" s="50"/>
      <c r="M38" s="51"/>
      <c r="N38" s="277"/>
      <c r="O38" s="20"/>
      <c r="P38" s="20"/>
      <c r="Q38" s="39"/>
    </row>
    <row r="39" spans="1:19" ht="16.899999999999999" customHeight="1" x14ac:dyDescent="0.25">
      <c r="A39" s="688" t="str">
        <f>cal!$AK$7&amp;" "&amp;$V$16&amp;" "&amp;ROUND(cal!BK47,1)&amp;IF(cal!$Z$5=1," cm, ",IF(cal!$Z$5=2," in, "))&amp;$V$17&amp;" "&amp;ROUND(cal!BL47,1)&amp;IF(cal!$Z$5=1," cm, ",IF(cal!$Z$5=2," in, "))&amp;$V$18&amp;" "&amp;ROUND(cal!BM47,1)&amp;IF(cal!$Z$5=1," cm ",IF(cal!$Z$5=2," in "))&amp;$S39</f>
        <v>Briza 22 (230V) height 54,5 cm, width 22 cm, length 125 cm (Type 06)</v>
      </c>
      <c r="B39" s="689"/>
      <c r="C39" s="689"/>
      <c r="D39" s="689"/>
      <c r="E39" s="689"/>
      <c r="F39" s="689"/>
      <c r="G39" s="689"/>
      <c r="H39" s="689"/>
      <c r="I39" s="689"/>
      <c r="J39" s="689"/>
      <c r="K39" s="689"/>
      <c r="L39" s="689"/>
      <c r="M39" s="690" t="str">
        <f>$U$27</f>
        <v>Order code:</v>
      </c>
      <c r="N39" s="690"/>
      <c r="O39" s="690"/>
      <c r="P39" s="690"/>
      <c r="Q39" s="691"/>
      <c r="R39" s="207"/>
      <c r="S39" s="207" t="s">
        <v>229</v>
      </c>
    </row>
    <row r="40" spans="1:19" x14ac:dyDescent="0.25">
      <c r="A40" s="29"/>
      <c r="B40" s="30"/>
      <c r="C40" s="31"/>
      <c r="D40" s="32"/>
      <c r="E40" s="33"/>
      <c r="F40" s="32"/>
      <c r="G40" s="32"/>
      <c r="H40" s="32"/>
      <c r="I40" s="34"/>
      <c r="J40" s="31"/>
      <c r="K40" s="35"/>
      <c r="L40" s="36"/>
      <c r="M40" s="37"/>
      <c r="N40" s="172"/>
      <c r="Q40" s="38"/>
    </row>
    <row r="41" spans="1:19" x14ac:dyDescent="0.25">
      <c r="A41" s="29"/>
      <c r="B41" s="30"/>
      <c r="C41" s="31"/>
      <c r="D41" s="32"/>
      <c r="E41" s="33"/>
      <c r="F41" s="32"/>
      <c r="G41" s="32"/>
      <c r="H41" s="32"/>
      <c r="I41" s="34"/>
      <c r="J41" s="31"/>
      <c r="K41" s="35"/>
      <c r="L41" s="36"/>
      <c r="M41" s="37"/>
      <c r="N41" s="172"/>
      <c r="Q41" s="38"/>
    </row>
    <row r="42" spans="1:19" x14ac:dyDescent="0.25">
      <c r="A42" s="29"/>
      <c r="B42" s="30"/>
      <c r="C42" s="31"/>
      <c r="D42" s="32"/>
      <c r="E42" s="33"/>
      <c r="F42" s="32"/>
      <c r="G42" s="32"/>
      <c r="H42" s="32"/>
      <c r="I42" s="34"/>
      <c r="J42" s="31"/>
      <c r="K42" s="35"/>
      <c r="L42" s="36"/>
      <c r="M42" s="37"/>
      <c r="N42" s="172"/>
      <c r="Q42" s="38"/>
    </row>
    <row r="43" spans="1:19" x14ac:dyDescent="0.25">
      <c r="A43" s="29"/>
      <c r="B43" s="30"/>
      <c r="C43" s="31"/>
      <c r="D43" s="32"/>
      <c r="E43" s="33"/>
      <c r="F43" s="32"/>
      <c r="G43" s="32"/>
      <c r="H43" s="32"/>
      <c r="I43" s="34"/>
      <c r="J43" s="31"/>
      <c r="K43" s="35"/>
      <c r="L43" s="36"/>
      <c r="M43" s="37"/>
      <c r="N43" s="172"/>
      <c r="Q43" s="38"/>
    </row>
    <row r="44" spans="1:19" x14ac:dyDescent="0.25">
      <c r="A44" s="29"/>
      <c r="B44" s="30"/>
      <c r="C44" s="31"/>
      <c r="D44" s="32"/>
      <c r="E44" s="33"/>
      <c r="F44" s="32"/>
      <c r="G44" s="32"/>
      <c r="H44" s="32"/>
      <c r="I44" s="34"/>
      <c r="J44" s="31"/>
      <c r="K44" s="35"/>
      <c r="L44" s="36"/>
      <c r="M44" s="37"/>
      <c r="N44" s="172"/>
      <c r="Q44" s="38"/>
    </row>
    <row r="45" spans="1:19" x14ac:dyDescent="0.25">
      <c r="A45" s="29"/>
      <c r="B45" s="30"/>
      <c r="C45" s="31"/>
      <c r="D45" s="32"/>
      <c r="E45" s="33"/>
      <c r="F45" s="32"/>
      <c r="G45" s="32"/>
      <c r="H45" s="32"/>
      <c r="I45" s="34"/>
      <c r="J45" s="31"/>
      <c r="K45" s="35"/>
      <c r="L45" s="36"/>
      <c r="M45" s="37"/>
      <c r="N45" s="172"/>
      <c r="Q45" s="38"/>
    </row>
    <row r="46" spans="1:19" x14ac:dyDescent="0.25">
      <c r="A46" s="43"/>
      <c r="B46" s="44"/>
      <c r="C46" s="45"/>
      <c r="D46" s="46"/>
      <c r="E46" s="47"/>
      <c r="F46" s="46"/>
      <c r="G46" s="46"/>
      <c r="H46" s="46"/>
      <c r="I46" s="48"/>
      <c r="J46" s="45"/>
      <c r="K46" s="49"/>
      <c r="L46" s="50"/>
      <c r="M46" s="51"/>
      <c r="N46" s="277"/>
      <c r="O46" s="20"/>
      <c r="P46" s="20"/>
      <c r="Q46" s="39"/>
    </row>
    <row r="47" spans="1:19" x14ac:dyDescent="0.25">
      <c r="A47" s="688" t="str">
        <f>cal!$AK$7&amp;" "&amp;$V$16&amp;" "&amp;ROUND(cal!BK55,1)&amp;IF(cal!$Z$5=1," cm, ",IF(cal!$Z$5=2," in, "))&amp;$V$17&amp;" "&amp;ROUND(cal!BL55,1)&amp;IF(cal!$Z$5=1," cm, ",IF(cal!$Z$5=2," in, "))&amp;$V$18&amp;" "&amp;ROUND(cal!BM55,1)&amp;IF(cal!$Z$5=1," cm ",IF(cal!$Z$5=2," in "))&amp;$S47</f>
        <v>Briza 22 (230V) height 54,5 cm, width 22 cm, length 155 cm (Type 08)</v>
      </c>
      <c r="B47" s="689"/>
      <c r="C47" s="689"/>
      <c r="D47" s="689"/>
      <c r="E47" s="689"/>
      <c r="F47" s="689"/>
      <c r="G47" s="689"/>
      <c r="H47" s="689"/>
      <c r="I47" s="689"/>
      <c r="J47" s="689"/>
      <c r="K47" s="689"/>
      <c r="L47" s="689"/>
      <c r="M47" s="690" t="str">
        <f>$U$27</f>
        <v>Order code:</v>
      </c>
      <c r="N47" s="690"/>
      <c r="O47" s="690"/>
      <c r="P47" s="690"/>
      <c r="Q47" s="691"/>
      <c r="R47" s="207"/>
      <c r="S47" s="207" t="s">
        <v>230</v>
      </c>
    </row>
    <row r="48" spans="1:19" x14ac:dyDescent="0.25">
      <c r="A48" s="29"/>
      <c r="B48" s="30"/>
      <c r="C48" s="31"/>
      <c r="D48" s="32"/>
      <c r="E48" s="33"/>
      <c r="F48" s="32"/>
      <c r="G48" s="32"/>
      <c r="H48" s="32"/>
      <c r="I48" s="34"/>
      <c r="J48" s="31"/>
      <c r="K48" s="35"/>
      <c r="L48" s="36"/>
      <c r="M48" s="37"/>
      <c r="N48" s="172"/>
      <c r="Q48" s="38"/>
    </row>
    <row r="49" spans="1:19" x14ac:dyDescent="0.25">
      <c r="A49" s="29"/>
      <c r="B49" s="30"/>
      <c r="C49" s="31"/>
      <c r="D49" s="32"/>
      <c r="E49" s="33"/>
      <c r="F49" s="32"/>
      <c r="G49" s="32"/>
      <c r="H49" s="32"/>
      <c r="I49" s="34"/>
      <c r="J49" s="31"/>
      <c r="K49" s="35"/>
      <c r="L49" s="36"/>
      <c r="M49" s="37"/>
      <c r="N49" s="172"/>
      <c r="Q49" s="38"/>
    </row>
    <row r="50" spans="1:19" x14ac:dyDescent="0.25">
      <c r="A50" s="29"/>
      <c r="B50" s="30"/>
      <c r="C50" s="31"/>
      <c r="D50" s="32"/>
      <c r="E50" s="33"/>
      <c r="F50" s="32"/>
      <c r="G50" s="32"/>
      <c r="H50" s="32"/>
      <c r="I50" s="34"/>
      <c r="J50" s="31"/>
      <c r="K50" s="35"/>
      <c r="L50" s="36"/>
      <c r="M50" s="37"/>
      <c r="N50" s="172"/>
      <c r="Q50" s="38"/>
    </row>
    <row r="51" spans="1:19" x14ac:dyDescent="0.25">
      <c r="A51" s="29"/>
      <c r="B51" s="30"/>
      <c r="C51" s="31"/>
      <c r="D51" s="32"/>
      <c r="E51" s="33"/>
      <c r="F51" s="32"/>
      <c r="G51" s="32"/>
      <c r="H51" s="32"/>
      <c r="I51" s="34"/>
      <c r="J51" s="31"/>
      <c r="K51" s="35"/>
      <c r="L51" s="36"/>
      <c r="M51" s="37"/>
      <c r="N51" s="172"/>
      <c r="Q51" s="38"/>
    </row>
    <row r="52" spans="1:19" x14ac:dyDescent="0.25">
      <c r="A52" s="29"/>
      <c r="B52" s="30"/>
      <c r="C52" s="31"/>
      <c r="D52" s="32"/>
      <c r="E52" s="33"/>
      <c r="F52" s="32"/>
      <c r="G52" s="32"/>
      <c r="H52" s="32"/>
      <c r="I52" s="34"/>
      <c r="J52" s="31"/>
      <c r="K52" s="35"/>
      <c r="L52" s="36"/>
      <c r="M52" s="37"/>
      <c r="N52" s="172"/>
      <c r="Q52" s="38"/>
    </row>
    <row r="53" spans="1:19" x14ac:dyDescent="0.25">
      <c r="A53" s="29"/>
      <c r="B53" s="30"/>
      <c r="C53" s="31"/>
      <c r="D53" s="32"/>
      <c r="E53" s="33"/>
      <c r="F53" s="32"/>
      <c r="G53" s="32"/>
      <c r="H53" s="32"/>
      <c r="I53" s="34"/>
      <c r="J53" s="31"/>
      <c r="K53" s="35"/>
      <c r="L53" s="36"/>
      <c r="M53" s="37"/>
      <c r="N53" s="172"/>
      <c r="Q53" s="38"/>
    </row>
    <row r="54" spans="1:19" x14ac:dyDescent="0.25">
      <c r="A54" s="43"/>
      <c r="B54" s="44"/>
      <c r="C54" s="45"/>
      <c r="D54" s="46"/>
      <c r="E54" s="47"/>
      <c r="F54" s="46"/>
      <c r="G54" s="46"/>
      <c r="H54" s="46"/>
      <c r="I54" s="48"/>
      <c r="J54" s="45"/>
      <c r="K54" s="49"/>
      <c r="L54" s="50"/>
      <c r="M54" s="51"/>
      <c r="N54" s="277"/>
      <c r="O54" s="20"/>
      <c r="P54" s="20"/>
      <c r="Q54" s="39"/>
    </row>
    <row r="55" spans="1:19" x14ac:dyDescent="0.25">
      <c r="A55" s="688" t="str">
        <f>cal!$AK$7&amp;" "&amp;$V$16&amp;" "&amp;ROUND(cal!BK63,1)&amp;IF(cal!$Z$5=1," cm, ",IF(cal!$Z$5=2," in, "))&amp;$V$17&amp;" "&amp;ROUND(cal!BL63,1)&amp;IF(cal!$Z$5=1," cm, ",IF(cal!$Z$5=2," in, "))&amp;$V$18&amp;" "&amp;ROUND(cal!BM63,1)&amp;IF(cal!$Z$5=1," cm ",IF(cal!$Z$5=2," in "))&amp;$S55</f>
        <v>Briza 22 (230V) height 54,5 cm, width 22 cm, length 190 cm (Type 10)</v>
      </c>
      <c r="B55" s="689"/>
      <c r="C55" s="689"/>
      <c r="D55" s="689"/>
      <c r="E55" s="689"/>
      <c r="F55" s="689"/>
      <c r="G55" s="689"/>
      <c r="H55" s="689"/>
      <c r="I55" s="689"/>
      <c r="J55" s="689"/>
      <c r="K55" s="689"/>
      <c r="L55" s="689"/>
      <c r="M55" s="690" t="str">
        <f>$U$27</f>
        <v>Order code:</v>
      </c>
      <c r="N55" s="690"/>
      <c r="O55" s="690"/>
      <c r="P55" s="690"/>
      <c r="Q55" s="691"/>
      <c r="R55" s="207"/>
      <c r="S55" s="207" t="s">
        <v>231</v>
      </c>
    </row>
    <row r="56" spans="1:19" x14ac:dyDescent="0.25">
      <c r="A56" s="29"/>
      <c r="B56" s="30"/>
      <c r="C56" s="31"/>
      <c r="D56" s="32"/>
      <c r="E56" s="33"/>
      <c r="F56" s="32"/>
      <c r="G56" s="32"/>
      <c r="H56" s="32"/>
      <c r="I56" s="34"/>
      <c r="J56" s="31"/>
      <c r="K56" s="35"/>
      <c r="L56" s="36"/>
      <c r="M56" s="37"/>
      <c r="N56" s="172"/>
      <c r="Q56" s="38"/>
    </row>
    <row r="57" spans="1:19" x14ac:dyDescent="0.25">
      <c r="A57" s="29"/>
      <c r="B57" s="30"/>
      <c r="C57" s="31"/>
      <c r="D57" s="32"/>
      <c r="E57" s="33"/>
      <c r="F57" s="32"/>
      <c r="G57" s="32"/>
      <c r="H57" s="32"/>
      <c r="I57" s="34"/>
      <c r="J57" s="31"/>
      <c r="K57" s="35"/>
      <c r="L57" s="36"/>
      <c r="M57" s="37"/>
      <c r="N57" s="172"/>
      <c r="Q57" s="38"/>
    </row>
    <row r="58" spans="1:19" x14ac:dyDescent="0.25">
      <c r="A58" s="29"/>
      <c r="B58" s="30"/>
      <c r="C58" s="31"/>
      <c r="D58" s="32"/>
      <c r="E58" s="33"/>
      <c r="F58" s="32"/>
      <c r="G58" s="32"/>
      <c r="H58" s="32"/>
      <c r="I58" s="34"/>
      <c r="J58" s="31"/>
      <c r="K58" s="35"/>
      <c r="L58" s="36"/>
      <c r="M58" s="37"/>
      <c r="N58" s="172"/>
      <c r="Q58" s="38"/>
    </row>
    <row r="59" spans="1:19" x14ac:dyDescent="0.25">
      <c r="A59" s="29"/>
      <c r="B59" s="30"/>
      <c r="C59" s="31"/>
      <c r="D59" s="32"/>
      <c r="E59" s="33"/>
      <c r="F59" s="32"/>
      <c r="G59" s="32"/>
      <c r="H59" s="32"/>
      <c r="I59" s="34"/>
      <c r="J59" s="31"/>
      <c r="K59" s="35"/>
      <c r="L59" s="36"/>
      <c r="M59" s="37"/>
      <c r="N59" s="172"/>
      <c r="Q59" s="38"/>
    </row>
    <row r="60" spans="1:19" x14ac:dyDescent="0.25">
      <c r="A60" s="29"/>
      <c r="B60" s="30"/>
      <c r="C60" s="31"/>
      <c r="D60" s="32"/>
      <c r="E60" s="33"/>
      <c r="F60" s="32"/>
      <c r="G60" s="32"/>
      <c r="H60" s="32"/>
      <c r="I60" s="34"/>
      <c r="J60" s="31"/>
      <c r="K60" s="35"/>
      <c r="L60" s="36"/>
      <c r="M60" s="37"/>
      <c r="N60" s="172"/>
      <c r="Q60" s="38"/>
    </row>
    <row r="61" spans="1:19" x14ac:dyDescent="0.25">
      <c r="A61" s="29"/>
      <c r="B61" s="30"/>
      <c r="C61" s="31"/>
      <c r="D61" s="32"/>
      <c r="E61" s="33"/>
      <c r="F61" s="32"/>
      <c r="G61" s="32"/>
      <c r="H61" s="32"/>
      <c r="I61" s="34"/>
      <c r="J61" s="31"/>
      <c r="K61" s="35"/>
      <c r="L61" s="36"/>
      <c r="M61" s="37"/>
      <c r="N61" s="172"/>
      <c r="Q61" s="38"/>
    </row>
    <row r="62" spans="1:19" x14ac:dyDescent="0.25">
      <c r="A62" s="43"/>
      <c r="B62" s="44"/>
      <c r="C62" s="45"/>
      <c r="D62" s="46"/>
      <c r="E62" s="47"/>
      <c r="F62" s="46"/>
      <c r="G62" s="46"/>
      <c r="H62" s="46"/>
      <c r="I62" s="48"/>
      <c r="J62" s="45"/>
      <c r="K62" s="49"/>
      <c r="L62" s="50"/>
      <c r="M62" s="51"/>
      <c r="N62" s="277"/>
      <c r="O62" s="20"/>
      <c r="P62" s="20"/>
      <c r="Q62" s="39"/>
    </row>
    <row r="63" spans="1:19" ht="9.4" customHeight="1" x14ac:dyDescent="0.25">
      <c r="A63" s="40" t="s">
        <v>258</v>
      </c>
      <c r="L63" s="41"/>
      <c r="M63" s="42"/>
      <c r="N63" s="42"/>
      <c r="Q63" s="42">
        <f>cal!Q63</f>
        <v>0</v>
      </c>
      <c r="R63" s="42"/>
      <c r="S63" s="42"/>
    </row>
    <row r="64" spans="1:19" ht="9.4" customHeight="1" x14ac:dyDescent="0.25">
      <c r="A64" s="40" t="s">
        <v>22</v>
      </c>
    </row>
    <row r="65" spans="1:1" ht="9.4" customHeight="1" x14ac:dyDescent="0.25">
      <c r="A65" s="40" t="s">
        <v>23</v>
      </c>
    </row>
    <row r="66" spans="1:1" ht="9.4" customHeight="1" x14ac:dyDescent="0.25">
      <c r="A66" s="40" t="s">
        <v>289</v>
      </c>
    </row>
  </sheetData>
  <sheetProtection selectLockedCells="1"/>
  <mergeCells count="26">
    <mergeCell ref="S7:T7"/>
    <mergeCell ref="G3:J3"/>
    <mergeCell ref="G4:J4"/>
    <mergeCell ref="L6:M6"/>
    <mergeCell ref="L7:M7"/>
    <mergeCell ref="Q7:R7"/>
    <mergeCell ref="A8:C8"/>
    <mergeCell ref="F8:I8"/>
    <mergeCell ref="Q8:R10"/>
    <mergeCell ref="A9:C9"/>
    <mergeCell ref="F9:I9"/>
    <mergeCell ref="L9:M9"/>
    <mergeCell ref="F10:I10"/>
    <mergeCell ref="L10:M10"/>
    <mergeCell ref="A15:L15"/>
    <mergeCell ref="M15:Q15"/>
    <mergeCell ref="A23:L23"/>
    <mergeCell ref="M23:Q23"/>
    <mergeCell ref="A31:L31"/>
    <mergeCell ref="M31:Q31"/>
    <mergeCell ref="A39:L39"/>
    <mergeCell ref="M39:Q39"/>
    <mergeCell ref="A47:L47"/>
    <mergeCell ref="M47:Q47"/>
    <mergeCell ref="A55:L55"/>
    <mergeCell ref="M55:Q55"/>
  </mergeCells>
  <dataValidations count="7">
    <dataValidation type="decimal" errorStyle="information" allowBlank="1" showErrorMessage="1" error="Eingabe außerhalb des gültigen Bereichs." prompt="20°C bis 35°C" sqref="J11" xr:uid="{00000000-0002-0000-0C00-000000000000}">
      <formula1>0.01</formula1>
      <formula2>1</formula2>
    </dataValidation>
    <dataValidation type="whole" errorStyle="information" allowBlank="1" showErrorMessage="1" error="Eingabe außerhalb des gültigen Bereichs." prompt="Eingabe zwischen 5°C bis 20°C" sqref="J8" xr:uid="{00000000-0002-0000-0C00-000001000000}">
      <formula1>5</formula1>
      <formula2>20</formula2>
    </dataValidation>
    <dataValidation type="whole" errorStyle="information" allowBlank="1" showErrorMessage="1" error="Eingabe außerhalb des gültigen Bereichs." prompt="Eingabe zwischen Vorlauftemp. und Raumtemp." sqref="J9" xr:uid="{00000000-0002-0000-0C00-000002000000}">
      <formula1>J8</formula1>
      <formula2>J10</formula2>
    </dataValidation>
    <dataValidation type="whole" errorStyle="information" allowBlank="1" showErrorMessage="1" error="Temperatur außerhalb des gütligen Bereichs." prompt="Eingabe zwischen 30°C bis 95°C" sqref="D8" xr:uid="{00000000-0002-0000-0C00-000003000000}">
      <formula1>30</formula1>
      <formula2>95</formula2>
    </dataValidation>
    <dataValidation type="whole" errorStyle="information" allowBlank="1" showErrorMessage="1" error="Eingabe außerhalb des gültigen Bereichs." prompt="Eingabe zwischen Vorlauftemp. und Raumtemp." sqref="D9" xr:uid="{00000000-0002-0000-0C00-000004000000}">
      <formula1>D10</formula1>
      <formula2>D8</formula2>
    </dataValidation>
    <dataValidation type="whole" errorStyle="information" allowBlank="1" showErrorMessage="1" error="Eingabe außerhalb des gültigen Bereichs." prompt="Eingabe zwischen 16°C bis 30°C" sqref="D10" xr:uid="{00000000-0002-0000-0C00-000005000000}">
      <formula1>16</formula1>
      <formula2>30</formula2>
    </dataValidation>
    <dataValidation type="whole" errorStyle="information" allowBlank="1" showErrorMessage="1" error="Eingabe außerhalb des gültigen Bereichs." prompt="20°C bis 35°C" sqref="J10" xr:uid="{00000000-0002-0000-0C00-000006000000}">
      <formula1>20</formula1>
      <formula2>35</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cal"/>
  <dimension ref="A1:XFC89"/>
  <sheetViews>
    <sheetView zoomScaleNormal="100" workbookViewId="0">
      <selection activeCell="M4" sqref="M4:O4"/>
    </sheetView>
  </sheetViews>
  <sheetFormatPr defaultColWidth="0" defaultRowHeight="15" customHeight="1" x14ac:dyDescent="0.25"/>
  <cols>
    <col min="1" max="1" width="2" style="2" customWidth="1"/>
    <col min="2" max="2" width="7" style="2" customWidth="1"/>
    <col min="3" max="3" width="6.140625" style="2" customWidth="1"/>
    <col min="4" max="6" width="12.7109375" style="2" customWidth="1"/>
    <col min="7" max="7" width="14.140625" style="2" customWidth="1"/>
    <col min="8" max="8" width="8.5703125" style="2" customWidth="1"/>
    <col min="9" max="9" width="7.7109375" style="2" customWidth="1"/>
    <col min="10" max="10" width="7" style="2" customWidth="1"/>
    <col min="11" max="11" width="7.85546875" style="2" customWidth="1"/>
    <col min="12" max="12" width="8.140625" style="2" customWidth="1"/>
    <col min="13" max="13" width="7.7109375" style="2" customWidth="1"/>
    <col min="14" max="19" width="7" style="2" customWidth="1"/>
    <col min="20" max="20" width="8.85546875" style="2" bestFit="1" customWidth="1"/>
    <col min="21" max="21" width="7.140625" style="2" bestFit="1" customWidth="1"/>
    <col min="22" max="22" width="7" style="2" customWidth="1"/>
    <col min="23" max="23" width="7.28515625" style="2" customWidth="1"/>
    <col min="24" max="60" width="6.7109375" style="2" customWidth="1"/>
    <col min="61" max="61" width="5.7109375" style="2" customWidth="1"/>
    <col min="62" max="62" width="6.7109375" style="2" customWidth="1"/>
    <col min="63" max="63" width="18.42578125" style="2" bestFit="1" customWidth="1"/>
    <col min="64" max="64" width="16" style="2" bestFit="1" customWidth="1"/>
    <col min="65" max="77" width="5.7109375" style="2" customWidth="1"/>
    <col min="78" max="87" width="8.28515625" style="2" customWidth="1"/>
    <col min="88" max="91" width="6.7109375" style="2" customWidth="1"/>
    <col min="92" max="147" width="5.7109375" style="2" customWidth="1"/>
    <col min="148" max="155" width="5.7109375" style="57" customWidth="1"/>
    <col min="156" max="156" width="15" style="2" bestFit="1" customWidth="1"/>
    <col min="157" max="163" width="5.7109375" style="57" customWidth="1"/>
    <col min="164" max="164" width="5.7109375" style="2" customWidth="1"/>
    <col min="165" max="165" width="9.140625" style="2" customWidth="1"/>
    <col min="166" max="168" width="6.7109375" style="2" customWidth="1"/>
    <col min="169" max="169" width="9.42578125" style="2" customWidth="1"/>
    <col min="170" max="171" width="8.5703125" style="2" customWidth="1"/>
    <col min="172" max="172" width="9.5703125" style="2" customWidth="1"/>
    <col min="173" max="173" width="8.85546875" style="2" customWidth="1"/>
    <col min="174" max="174" width="9.5703125" style="2" customWidth="1"/>
    <col min="175" max="175" width="10.28515625" style="2" customWidth="1"/>
    <col min="176" max="176" width="9.42578125" style="2" customWidth="1"/>
    <col min="177" max="188" width="6.7109375" style="2" customWidth="1"/>
    <col min="189" max="189" width="8.140625" style="2" bestFit="1" customWidth="1"/>
    <col min="190" max="190" width="7.28515625" style="2" customWidth="1"/>
    <col min="191" max="197" width="1.7109375" style="2" customWidth="1"/>
    <col min="198" max="212" width="6.7109375" style="2" customWidth="1"/>
    <col min="213" max="213" width="8.28515625" style="2" customWidth="1"/>
    <col min="214" max="214" width="6.7109375" style="2" customWidth="1"/>
    <col min="215" max="215" width="7.85546875" style="2" customWidth="1"/>
    <col min="216" max="216" width="7.42578125" style="2" customWidth="1"/>
    <col min="217" max="217" width="12.42578125" style="2" customWidth="1"/>
    <col min="218" max="218" width="9.140625" style="2" customWidth="1"/>
    <col min="219" max="219" width="13.140625" style="2" customWidth="1"/>
    <col min="220" max="245" width="9.140625" style="2" customWidth="1"/>
    <col min="246" max="247" width="9.140625" style="2" hidden="1" customWidth="1"/>
    <col min="248" max="16381" width="9.140625" style="2" hidden="1"/>
    <col min="16382" max="16382" width="21.85546875" style="2" hidden="1"/>
    <col min="16383" max="16383" width="18.5703125" style="2" hidden="1"/>
    <col min="16384" max="16384" width="7.140625" style="2" hidden="1"/>
  </cols>
  <sheetData>
    <row r="1" spans="2:237" ht="15" customHeight="1" x14ac:dyDescent="0.25">
      <c r="F1" s="317"/>
      <c r="G1" s="317"/>
      <c r="H1" s="312"/>
      <c r="I1" s="2" t="s">
        <v>93</v>
      </c>
      <c r="J1" s="2" t="s">
        <v>94</v>
      </c>
      <c r="K1" s="2" t="s">
        <v>95</v>
      </c>
      <c r="L1" s="2" t="s">
        <v>96</v>
      </c>
      <c r="M1" s="2" t="s">
        <v>129</v>
      </c>
      <c r="N1" s="2" t="s">
        <v>204</v>
      </c>
      <c r="O1" s="516" t="s">
        <v>365</v>
      </c>
      <c r="P1" s="517" t="s">
        <v>366</v>
      </c>
      <c r="Q1" s="517" t="s">
        <v>367</v>
      </c>
      <c r="R1" s="517" t="s">
        <v>368</v>
      </c>
      <c r="S1" s="517" t="s">
        <v>369</v>
      </c>
      <c r="AF1" s="285" t="str">
        <f>IF(LangNo=1,cal!$K$2,IF(LangNo=2,cal!$M$2,IF(LangNo=3,cal!$O$2,IF(LangNo=4,cal!$Q$2,IF(LangNo=5,cal!$I$2,IF(LangNo=6,cal!$S$2,IF(LangNo=7,cal!$I$2,IF(LangNo=8,cal!$U$2,IF(LangNo=9,cal!$S$2,IF(LangNo=10,cal!$S$2,IF(LangNo=11,cal!$S$2,)))))))))))</f>
        <v>Built-in</v>
      </c>
      <c r="AK1" s="285" t="str">
        <f>CONCATENATE("Briza 22 2-",$AC$9)</f>
        <v>Briza 22 2-pipe</v>
      </c>
      <c r="AL1" s="290" t="s">
        <v>333</v>
      </c>
    </row>
    <row r="2" spans="2:237" ht="15" customHeight="1" x14ac:dyDescent="0.25">
      <c r="I2" s="285" t="s">
        <v>127</v>
      </c>
      <c r="J2" s="284" t="s">
        <v>128</v>
      </c>
      <c r="K2" s="284" t="s">
        <v>97</v>
      </c>
      <c r="L2" s="284" t="s">
        <v>98</v>
      </c>
      <c r="M2" s="284" t="s">
        <v>86</v>
      </c>
      <c r="N2" s="284" t="s">
        <v>87</v>
      </c>
      <c r="O2" s="284" t="s">
        <v>99</v>
      </c>
      <c r="P2" s="284" t="s">
        <v>100</v>
      </c>
      <c r="Q2" s="284" t="s">
        <v>101</v>
      </c>
      <c r="R2" s="284" t="s">
        <v>102</v>
      </c>
      <c r="S2" s="284" t="s">
        <v>253</v>
      </c>
      <c r="T2" s="452" t="s">
        <v>254</v>
      </c>
      <c r="U2" s="2" t="s">
        <v>443</v>
      </c>
      <c r="V2" s="2" t="s">
        <v>444</v>
      </c>
      <c r="X2" s="2" t="s">
        <v>115</v>
      </c>
      <c r="Z2" s="502" t="str">
        <f>CONCATENATE(AK5,AL5,Z6)</f>
        <v>121</v>
      </c>
      <c r="AC2" s="217" t="s">
        <v>137</v>
      </c>
      <c r="AD2" s="214"/>
      <c r="AF2" s="285" t="str">
        <f>IF(LangNo=1,cal!$L$2,IF(LangNo=2,cal!$N$2,IF(LangNo=3,cal!$P$2,IF(LangNo=4,cal!$R$2,IF(LangNo=5,cal!$J$2,IF(LangNo=6,cal!$T$2,IF(LangNo=7,cal!$J$2,IF(LangNo=8,cal!$V$2,IF(LangNo=9,cal!$T$2,IF(LangNo=10,cal!$T$2,IF(LangNo=11,cal!$T$2,)))))))))))</f>
        <v>With casing</v>
      </c>
      <c r="AI2" s="287" t="str">
        <f>IF(LangNo=1,AI7,IF(LangNo=2,AI8,IF(LangNo=3,AI9,IF(LangNo=4,AI10,IF(LangNo=5,AI11,IF(LangNo=6,AI12,IF(LangNo=7,AI11,IF(LangNo=8,AI13,IF(LangNo=9,AI7,IF(LangNo=10,AI7,IF(LangNo=11,AI7,)))))))))))</f>
        <v>Fresh water</v>
      </c>
      <c r="AK2" s="284" t="str">
        <f>CONCATENATE("Briza 22 4-",$AC$9)</f>
        <v>Briza 22 4-pipe</v>
      </c>
      <c r="AL2" s="290" t="s">
        <v>116</v>
      </c>
      <c r="AN2" s="162"/>
      <c r="AO2" s="56" t="str">
        <f>AI2</f>
        <v>Fresh water</v>
      </c>
      <c r="AP2" s="56" t="str">
        <f>AI3</f>
        <v>Eth. Glycol</v>
      </c>
      <c r="AQ2" s="56" t="str">
        <f>AI4</f>
        <v>Prop. Glycol</v>
      </c>
      <c r="AR2" s="56" t="s">
        <v>109</v>
      </c>
      <c r="AS2" s="56" t="s">
        <v>110</v>
      </c>
      <c r="AV2" s="490"/>
      <c r="AW2" s="491" t="str">
        <f>AI2</f>
        <v>Fresh water</v>
      </c>
      <c r="AX2" s="491" t="str">
        <f>AI3</f>
        <v>Eth. Glycol</v>
      </c>
      <c r="AY2" s="491" t="str">
        <f>AI4</f>
        <v>Prop. Glycol</v>
      </c>
      <c r="AZ2" s="491" t="s">
        <v>109</v>
      </c>
      <c r="BA2" s="491" t="s">
        <v>110</v>
      </c>
      <c r="BC2" s="2" t="s">
        <v>84</v>
      </c>
      <c r="BD2" s="2" t="str">
        <f>IF(LangNo=1,NL!U24,IF(LangNo=2,EN!U24,IF(LangNo=3,DE!U24,IF(LangNo=4,FR!U24,IF(LangNo=5,NR!U24,IF(LangNo=6,SP!U24,IF(LangNo=7,SW!U24,IF(LangNo=8,TS!U24,IF(LangNo=9,ExtraTaal1!U24,IF(LangNo=10,ExtraTaal2!U24,IF(LangNo=11,ExtraTaal3!U24,)))))))))))</f>
        <v>Ceiling model</v>
      </c>
      <c r="BE2" s="2" t="str">
        <f>NL!U24</f>
        <v>Plafondmodel</v>
      </c>
      <c r="BF2" s="2" t="str">
        <f>EN!U24</f>
        <v>Ceiling model</v>
      </c>
      <c r="BG2" s="2" t="str">
        <f>DE!U24</f>
        <v>Deckenmodell</v>
      </c>
      <c r="BH2" s="2" t="str">
        <f>FR!U24</f>
        <v>Modèle de plafond</v>
      </c>
      <c r="BI2" s="2" t="str">
        <f>NR!U24</f>
        <v>Takmodell</v>
      </c>
      <c r="BJ2" s="2" t="str">
        <f>SP!U24</f>
        <v>Modelo de techo</v>
      </c>
      <c r="BK2" s="471" t="s">
        <v>314</v>
      </c>
      <c r="BL2" s="472"/>
      <c r="BM2" s="473"/>
      <c r="BN2" s="451">
        <f>62.5-54.5</f>
        <v>8</v>
      </c>
      <c r="BO2" s="56" t="s">
        <v>315</v>
      </c>
      <c r="FV2" s="256"/>
    </row>
    <row r="3" spans="2:237" ht="15" customHeight="1" x14ac:dyDescent="0.35">
      <c r="B3" s="1"/>
      <c r="M3" s="311"/>
      <c r="Z3" s="40">
        <v>2</v>
      </c>
      <c r="AC3" s="215">
        <f>(237.3*LN((RH*EXP(17.27*(Tl_cool/(Tl_cool+237.3))))))/(17.27-LN((RH*EXP(17.27*(Tl_cool/(Tl_cool+237.3))))))</f>
        <v>15.69066559142683</v>
      </c>
      <c r="AD3" s="216" t="s">
        <v>138</v>
      </c>
      <c r="AI3" s="288" t="s">
        <v>103</v>
      </c>
      <c r="AK3" s="284" t="str">
        <f>CONCATENATE("Briza 26 2-",$AC$9)</f>
        <v>Briza 26 2-pipe</v>
      </c>
      <c r="AL3" s="40" t="s">
        <v>117</v>
      </c>
      <c r="AN3" s="164">
        <v>0</v>
      </c>
      <c r="AO3" s="163">
        <v>1</v>
      </c>
      <c r="AP3" s="163">
        <v>1</v>
      </c>
      <c r="AQ3" s="163">
        <v>1</v>
      </c>
      <c r="AR3" s="56">
        <f>IF(AdditNo=1,$AO3,IF(AdditNo=2,$AP3,IF(AdditNo=3,$AQ3)))</f>
        <v>1</v>
      </c>
      <c r="AS3" s="56">
        <f>IF('Briza 22 &amp; 26'!$M$3=cal!$AN$3,cal!$AR$3,IF('Briza 22 &amp; 26'!$M$3=cal!$AN$4,cal!$AR$4,IF('Briza 22 &amp; 26'!$M$3=cal!$AN$5,cal!$AR$5,IF('Briza 22 &amp; 26'!$M$3=cal!$AN$6,cal!$AR$6,IF('Briza 22 &amp; 26'!$M$3=cal!$AN$7,cal!$AR$7,IF('Briza 22 &amp; 26'!$M$3=cal!$AN$8,cal!$AR$8,))))))</f>
        <v>1</v>
      </c>
      <c r="AV3" s="492">
        <f>AN3</f>
        <v>0</v>
      </c>
      <c r="AW3" s="493">
        <v>15</v>
      </c>
      <c r="AX3" s="493">
        <v>15</v>
      </c>
      <c r="AY3" s="493">
        <v>15</v>
      </c>
      <c r="AZ3" s="494">
        <f>IF(AdditNo=1,$AW3,IF(AdditNo=2,$AX3,IF(AdditNo=3,$AY3)))</f>
        <v>15</v>
      </c>
      <c r="BA3" s="494">
        <f>IF('Briza 22 &amp; 26'!$M$3=cal!$AN$3,cal!$AZ$3,IF('Briza 22 &amp; 26'!$M$3=cal!$AN$4,cal!$AZ$4,IF('Briza 22 &amp; 26'!$M$3=cal!$AN$5,cal!$AZ$5,IF('Briza 22 &amp; 26'!$M$3=cal!$AN$6,cal!$AZ$6,IF('Briza 22 &amp; 26'!$M$3=cal!$AN$7,cal!$AZ$7,IF('Briza 22 &amp; 26'!$M$3=cal!$AN$8,cal!$AZ$8,))))))</f>
        <v>15</v>
      </c>
      <c r="BC3" s="2" t="s">
        <v>49</v>
      </c>
      <c r="BD3" s="2" t="str">
        <f>IF(LangNo=1,NL!U25,IF(LangNo=2,EN!U25,IF(LangNo=3,DE!U25,IF(LangNo=4,FR!U25,IF(LangNo=5,NR!U25,IF(LangNo=6,SP!U25,IF(LangNo=7,SW!U25,IF(LangNo=8,TS!U25,IF(LangNo=9,ExtraTaal1!U25,IF(LangNo=10,ExtraTaal2!U25,IF(LangNo=11,ExtraTaal3!U25,)))))))))))</f>
        <v>Wall model</v>
      </c>
      <c r="BE3" s="2" t="str">
        <f>NL!U25</f>
        <v>Muurmodel</v>
      </c>
      <c r="BF3" s="2" t="str">
        <f>EN!U25</f>
        <v>Wall model</v>
      </c>
      <c r="BG3" s="2" t="str">
        <f>DE!U25</f>
        <v>Wandmodell</v>
      </c>
      <c r="BH3" s="2" t="str">
        <f>FR!U25</f>
        <v>Modèle mural</v>
      </c>
      <c r="BI3" s="2" t="str">
        <f>NR!U25</f>
        <v>Veggmodell</v>
      </c>
      <c r="BJ3" s="2" t="str">
        <f>SP!U25</f>
        <v>Modelo de pared</v>
      </c>
      <c r="BK3" s="471" t="s">
        <v>316</v>
      </c>
      <c r="BL3" s="472"/>
      <c r="BM3" s="473"/>
      <c r="BN3" s="451">
        <v>1.1499999999999999</v>
      </c>
      <c r="BO3" s="56" t="s">
        <v>315</v>
      </c>
    </row>
    <row r="4" spans="2:237" ht="15" customHeight="1" x14ac:dyDescent="0.25">
      <c r="B4" s="3" t="str">
        <f>IF(LangNo=1,NL!A2,IF(LangNo=2,EN!A2,IF(LangNo=3,DE!A2,IF(LangNo=4,FR!A2,IF(LangNo=5,NR!A2,IF(LangNo=6,SP!A2,IF(LangNo=7,SW!A2,IF(LangNo=8,TS!A2,IF(LangNo=9,ExtraTaal1!A2,IF(LangNo=10,ExtraTaal2!A2,IF(LangNo=11,ExtraTaal3!A2,)))))))))))</f>
        <v>Formulary</v>
      </c>
      <c r="C4" s="4"/>
      <c r="G4" s="318"/>
      <c r="H4" s="313"/>
      <c r="I4" s="313"/>
      <c r="J4" s="55"/>
      <c r="Z4" s="40">
        <f>IF('Briza 22 &amp; 26'!$K$3=cal!$AI$7,1,IF('Briza 22 &amp; 26'!$K$3=cal!$AI$8,1,IF('Briza 22 &amp; 26'!$K$3=cal!$AI$9,1,IF('Briza 22 &amp; 26'!$K$3=cal!$AI$10,1,IF('Briza 22 &amp; 26'!$K$3=cal!$AI$11,1,IF('Briza 22 &amp; 26'!$K$3=cal!$AI$12,1,IF('Briza 22 &amp; 26'!$K$3=cal!$AI$13,1,IF('Briza 22 &amp; 26'!$K$3=cal!$AI$3,2,IF('Briza 22 &amp; 26'!$K$3=cal!$AI$4,3,)))))))))</f>
        <v>1</v>
      </c>
      <c r="AB4" s="154"/>
      <c r="AI4" s="289" t="s">
        <v>104</v>
      </c>
      <c r="AK4" s="286" t="str">
        <f>CONCATENATE("Briza 26 4-",$AC$9)</f>
        <v>Briza 26 4-pipe</v>
      </c>
      <c r="AL4" s="291" t="s">
        <v>184</v>
      </c>
      <c r="AN4" s="164">
        <v>0.2</v>
      </c>
      <c r="AO4" s="163">
        <v>1</v>
      </c>
      <c r="AP4" s="163">
        <v>0.95</v>
      </c>
      <c r="AQ4" s="163">
        <v>0.98</v>
      </c>
      <c r="AR4" s="56">
        <f>IF(AdditNo=1,$AO4,IF(AdditNo=2,$AP4,IF(AdditNo=3,$AQ4)))</f>
        <v>1</v>
      </c>
      <c r="AS4" s="56"/>
      <c r="AV4" s="492">
        <f>AN4</f>
        <v>0.2</v>
      </c>
      <c r="AW4" s="493">
        <v>15</v>
      </c>
      <c r="AX4" s="493">
        <v>0</v>
      </c>
      <c r="AY4" s="493">
        <v>0</v>
      </c>
      <c r="AZ4" s="494">
        <f>IF(AdditNo=1,$AW4,IF(AdditNo=2,$AX4,IF(AdditNo=3,$AY4)))</f>
        <v>15</v>
      </c>
      <c r="BA4" s="494">
        <f>(BA3*1.8)+32</f>
        <v>59</v>
      </c>
      <c r="BC4" s="2" t="s">
        <v>50</v>
      </c>
      <c r="BE4" s="2" t="str">
        <f>SW!U24</f>
        <v>Takmodell</v>
      </c>
      <c r="BF4" s="2" t="str">
        <f>TS!U24</f>
        <v>Stropní model</v>
      </c>
      <c r="BK4" s="220"/>
      <c r="BL4" s="449"/>
      <c r="BM4" s="450" t="s">
        <v>317</v>
      </c>
      <c r="BN4" s="451">
        <f>17.5*2</f>
        <v>35</v>
      </c>
      <c r="BO4" s="56" t="s">
        <v>315</v>
      </c>
    </row>
    <row r="5" spans="2:237" ht="15" customHeight="1" x14ac:dyDescent="0.25">
      <c r="B5" s="1"/>
      <c r="G5" s="620" t="str">
        <f>IF(LangNo=1,NL!G3,IF(LangNo=2,EN!G3,IF(LangNo=3,DE!G3,IF(LangNo=4,FR!G3,IF(LangNo=5,NR!G3,IF(LangNo=6,SP!G3,IF(LangNo=7,SW!G3,IF(LangNo=8,TS!G3,IF(LangNo=9,ExtraTaal1!G3,IF(LangNo=10,ExtraTaal2!G3,IF(LangNo=11,ExtraTaal3!G3,)))))))))))</f>
        <v>Hydronic mix:</v>
      </c>
      <c r="H5" s="621" t="str">
        <f>IF(LangNo=1,NL!G3,IF(LangNo=2,EN!G3,IF(LangNo=3,DE!G3,IF(LangNo=4,FR!G3,IF(LangNo=5,NR!G3,IF(LangNo=6,SP!G3,IF(LangNo=7,SW!G3,IF(LangNo=8,TS!G3,IF(LangNo=9,ExtraTaal1!G3,IF(LangNo=10,ExtraTaal2!G3,IF(LangNo=11,ExtraTaal3!G3,)))))))))))</f>
        <v>Hydronic mix:</v>
      </c>
      <c r="I5" s="622">
        <f>IF(LangNo=1,NL!H3,IF(LangNo=2,EN!H3,IF(LangNo=3,DE!H3,IF(LangNo=4,FR!H3,IF(LangNo=5,NR!H3,IF(LangNo=6,SP!H3,IF(LangNo=7,SW!H3,IF(LangNo=8,TS!H3,IF(LangNo=9,ExtraTaal1!H3,IF(LangNo=10,ExtraTaal2!H3,IF(LangNo=11,ExtraTaal3!H3,)))))))))))</f>
        <v>0</v>
      </c>
      <c r="J5" s="623">
        <f>IF(LangNo=1,NL!I3,IF(LangNo=2,EN!I3,IF(LangNo=3,DE!I3,IF(LangNo=4,FR!I3,IF(LangNo=5,NR!I3,IF(LangNo=6,SP!I3,IF(LangNo=7,SW!I3,IF(LangNo=8,TS!I3,IF(LangNo=9,ExtraTaal1!I3,IF(LangNo=10,ExtraTaal2!I3,IF(LangNo=11,ExtraTaal3!I3,)))))))))))</f>
        <v>0</v>
      </c>
      <c r="Z5" s="40">
        <v>1</v>
      </c>
      <c r="AB5" s="154"/>
      <c r="AC5" s="2" t="str">
        <f>IF(LangNo=1,NL!$U16,IF(LangNo=2,EN!$U16,IF(LangNo=3,DE!$U16,IF(LangNo=4,FR!$U16,IF(LangNo=5,NR!$U16,IF(LangNo=6,SP!$U16,IF(LangNo=7,SW!$U16,IF(LangNo=8,TS!$U16,IF(LangNo=9,ExtraTaal1!$U16,IF(LangNo=10,ExtraTaal2!$U16,IF(LangNo=11,ExtraTaal3!$U16,)))))))))))</f>
        <v>Δp high!</v>
      </c>
      <c r="AF5" s="2" t="str">
        <f>IF(LangNo=1,NL!W16,IF(LangNo=2,EN!W16,IF(LangNo=3,DE!W16,IF(LangNo=4,FR!W16,IF(LangNo=5,NR!W16,IF(LangNo=6,SP!W16,IF(LangNo=7,SW!W16,IF(LangNo=8,TS!W16,IF(LangNo=9,ExtraTaal1!W16,IF(LangNo=10,ExtraTaal2!W16,IF(LangNo=11,ExtraTaal3!W16,)))))))))))</f>
        <v>Copy all data</v>
      </c>
      <c r="AK5" s="40">
        <f>IF('Briza 22 &amp; 26'!$K$4=cal!$AK$1,1,IF('Briza 22 &amp; 26'!$K$4=cal!$AK$2,2,IF('Briza 22 &amp; 26'!$K$4=cal!$AK$3,3,IF('Briza 22 &amp; 26'!$K$4=cal!$AK$4,4,))))</f>
        <v>1</v>
      </c>
      <c r="AL5" s="489">
        <f>IF('Briza 22 &amp; 26'!$M$4=cal!$AL$1,1,IF('Briza 22 &amp; 26'!$M$4=cal!$AL$3,2,IF('Briza 22 &amp; 26'!$M$4=cal!$AL$4,3,IF('Briza 22 &amp; 26'!$M$4=cal!$AL$2,4,))))</f>
        <v>2</v>
      </c>
      <c r="AN5" s="164">
        <v>0.3</v>
      </c>
      <c r="AO5" s="163">
        <v>1</v>
      </c>
      <c r="AP5" s="163">
        <v>0.91</v>
      </c>
      <c r="AQ5" s="163">
        <v>0.96</v>
      </c>
      <c r="AR5" s="56">
        <f>IF(AdditNo=1,$AO5,IF(AdditNo=2,$AP5,IF(AdditNo=3,$AQ5)))</f>
        <v>1</v>
      </c>
      <c r="AS5" s="56"/>
      <c r="AV5" s="492">
        <f>AN5</f>
        <v>0.3</v>
      </c>
      <c r="AW5" s="493">
        <v>15</v>
      </c>
      <c r="AX5" s="493">
        <f>-5</f>
        <v>-5</v>
      </c>
      <c r="AY5" s="493">
        <f>-5</f>
        <v>-5</v>
      </c>
      <c r="AZ5" s="494">
        <f>IF(AdditNo=1,$AW5,IF(AdditNo=2,$AX5,IF(AdditNo=3,$AY5)))</f>
        <v>15</v>
      </c>
      <c r="BA5" s="491"/>
      <c r="BC5" s="2" t="s">
        <v>51</v>
      </c>
      <c r="BE5" s="2" t="str">
        <f>SW!U25</f>
        <v>Väggmodell</v>
      </c>
      <c r="BF5" s="2" t="str">
        <f>TS!U25</f>
        <v>Nástěnný model</v>
      </c>
      <c r="BJ5" s="54"/>
      <c r="BK5" s="56" t="s">
        <v>58</v>
      </c>
      <c r="BL5" s="56" t="s">
        <v>57</v>
      </c>
      <c r="FM5" s="57"/>
      <c r="FN5" s="57"/>
      <c r="FO5" s="57"/>
      <c r="FP5" s="57"/>
    </row>
    <row r="6" spans="2:237" ht="15" customHeight="1" x14ac:dyDescent="0.25">
      <c r="B6" s="5" t="str">
        <f>IF(LangNo=1,NL!A4,IF(LangNo=2,EN!A4,IF(LangNo=3,DE!A4,IF(LangNo=4,FR!A4,IF(LangNo=5,NR!A4,IF(LangNo=6,SP!A4,IF(LangNo=7,SW!A4,IF(LangNo=8,TS!A4,IF(LangNo=9,ExtraTaal1!A4,IF(LangNo=10,ExtraTaal2!A4,IF(LangNo=11,ExtraTaal3!A4,)))))))))))</f>
        <v>Conditions</v>
      </c>
      <c r="G6" s="620" t="str">
        <f>IF(LangNo=1,NL!G4,IF(LangNo=2,EN!G4,IF(LangNo=3,DE!G4,IF(LangNo=4,FR!G4,IF(LangNo=5,NR!G4,IF(LangNo=6,SP!G4,IF(LangNo=7,SW!G4,IF(LangNo=8,TS!G4,IF(LangNo=9,ExtraTaal1!G4,IF(LangNo=10,ExtraTaal2!G4,IF(LangNo=11,ExtraTaal3!G4,)))))))))))</f>
        <v>Device - Ventilator - Utilization:</v>
      </c>
      <c r="H6" s="621" t="str">
        <f>IF(LangNo=1,NL!G4,IF(LangNo=2,EN!G4,IF(LangNo=3,DE!G4,IF(LangNo=4,FR!G4,IF(LangNo=5,NR!G4,IF(LangNo=6,SP!G4,IF(LangNo=7,SW!G4,IF(LangNo=8,TS!G4,IF(LangNo=9,ExtraTaal1!G4,IF(LangNo=10,ExtraTaal2!G4,IF(LangNo=11,ExtraTaal3!G4,)))))))))))</f>
        <v>Device - Ventilator - Utilization:</v>
      </c>
      <c r="I6" s="622">
        <f>IF(LangNo=1,NL!H4,IF(LangNo=2,EN!H4,IF(LangNo=3,DE!H4,IF(LangNo=4,FR!H4,IF(LangNo=5,NR!H4,IF(LangNo=6,SP!H4,IF(LangNo=7,SW!H4,IF(LangNo=8,TS!H4,IF(LangNo=9,ExtraTaal1!H4,IF(LangNo=10,ExtraTaal2!H4,IF(LangNo=11,ExtraTaal3!H4,)))))))))))</f>
        <v>0</v>
      </c>
      <c r="J6" s="623">
        <f>IF(LangNo=1,NL!I4,IF(LangNo=2,EN!I4,IF(LangNo=3,DE!I4,IF(LangNo=4,FR!I4,IF(LangNo=5,NR!I4,IF(LangNo=6,SP!I4,IF(LangNo=7,SW!I4,IF(LangNo=8,TS!I4,IF(LangNo=9,ExtraTaal1!I4,IF(LangNo=10,ExtraTaal2!I4,IF(LangNo=11,ExtraTaal3!I4,)))))))))))</f>
        <v>0</v>
      </c>
      <c r="Z6" s="40">
        <f>IF('Briza 22 &amp; 26'!$P$4=cal!$K$2,1,IF('Briza 22 &amp; 26'!$P$4=cal!$M$2,1,IF('Briza 22 &amp; 26'!$P$4=cal!$O$2,1,IF('Briza 22 &amp; 26'!$P$4=cal!$Q$2,1,IF('Briza 22 &amp; 26'!$P$4=cal!$I$2,1,IF('Briza 22 &amp; 26'!$P$4=cal!$S$2,1,IF('Briza 22 &amp; 26'!$P$4=cal!$U$2,1,IF('Briza 22 &amp; 26'!$P$4=cal!$L$2,2,IF('Briza 22 &amp; 26'!$P$4=cal!$N$2,2,IF('Briza 22 &amp; 26'!$P$4=cal!$P$2,2,IF('Briza 22 &amp; 26'!$P$4=cal!$R$2,2,IF('Briza 22 &amp; 26'!$P$4=cal!$J$2,2,IF('Briza 22 &amp; 26'!$P$4=cal!$T$2,2,IF('Briza 22 &amp; 26'!$P$4=cal!$V$2,2,))))))))))))))</f>
        <v>1</v>
      </c>
      <c r="AC6" s="2" t="str">
        <f>IF(LangNo=1,NL!$U17,IF(LangNo=2,EN!$U17,IF(LangNo=3,DE!$U17,IF(LangNo=4,FR!$U17,IF(LangNo=5,NR!$U17,IF(LangNo=6,SP!$U17,IF(LangNo=7,SW!$U17,IF(LangNo=8,TS!$U17,IF(LangNo=9,ExtraTaal1!$U17,IF(LangNo=10,ExtraTaal2!$U17,IF(LangNo=11,ExtraTaal3!$U17,)))))))))))</f>
        <v>Temp.</v>
      </c>
      <c r="AD6" s="54"/>
      <c r="AF6" s="2" t="str">
        <f>IF(LangNo=1,NL!W17,IF(LangNo=2,EN!W17,IF(LangNo=3,DE!W17,IF(LangNo=4,FR!W17,IF(LangNo=5,NR!W17,IF(LangNo=6,SP!W17,IF(LangNo=7,SW!W17,IF(LangNo=8,TS!W17,IF(LangNo=9,ExtraTaal1!W17,IF(LangNo=10,ExtraTaal2!W17,IF(LangNo=11,ExtraTaal3!W17,)))))))))))</f>
        <v>SI-units</v>
      </c>
      <c r="AH6" s="54"/>
      <c r="AJ6" s="54"/>
      <c r="AL6" s="54"/>
      <c r="AM6" s="54"/>
      <c r="AN6" s="164">
        <v>0.4</v>
      </c>
      <c r="AO6" s="163">
        <v>1</v>
      </c>
      <c r="AP6" s="163">
        <v>0.88</v>
      </c>
      <c r="AQ6" s="163">
        <v>0.93</v>
      </c>
      <c r="AR6" s="56">
        <f>IF(AdditNo=1,$AO6,IF(AdditNo=2,$AP6,IF(AdditNo=3,$AQ6)))</f>
        <v>1</v>
      </c>
      <c r="AS6" s="56"/>
      <c r="AT6" s="54"/>
      <c r="AV6" s="492">
        <f>AN6</f>
        <v>0.4</v>
      </c>
      <c r="AW6" s="493">
        <v>15</v>
      </c>
      <c r="AX6" s="493">
        <f>-15</f>
        <v>-15</v>
      </c>
      <c r="AY6" s="493">
        <v>-15</v>
      </c>
      <c r="AZ6" s="494">
        <f>IF(AdditNo=1,$AW6,IF(AdditNo=2,$AX6,IF(AdditNo=3,$AY6)))</f>
        <v>15</v>
      </c>
      <c r="BA6" s="494"/>
      <c r="BC6" s="2" t="s">
        <v>52</v>
      </c>
      <c r="BJ6" s="54"/>
      <c r="BK6" s="56">
        <f>IF(UnitsNo=1,Geg_Altit/1000,IF(UnitsNo=2,Geg_Altit*0.0003048))</f>
        <v>0</v>
      </c>
      <c r="BL6" s="270">
        <f>-0.000265264729874266*BK6^6+0.000957582908802335*BK6^5+0.00470250661483425*BK6^4-0.0298716926548353*BK6^3+0.0557086806557086*BK6^2-0.0484008125693582*BK6+1</f>
        <v>1</v>
      </c>
      <c r="FA6" s="515"/>
      <c r="FM6" s="57"/>
      <c r="FN6" s="328"/>
      <c r="FO6" s="328"/>
      <c r="FP6" s="328"/>
      <c r="FV6" s="60"/>
    </row>
    <row r="7" spans="2:237" ht="15" customHeight="1" thickBot="1" x14ac:dyDescent="0.3">
      <c r="B7" s="174"/>
      <c r="C7" s="175"/>
      <c r="D7" s="175"/>
      <c r="E7" s="175"/>
      <c r="F7" s="175"/>
      <c r="G7" s="175"/>
      <c r="H7" s="175"/>
      <c r="I7" s="175"/>
      <c r="J7" s="175"/>
      <c r="K7" s="175"/>
      <c r="L7" s="175"/>
      <c r="M7" s="175"/>
      <c r="N7" s="175"/>
      <c r="O7" s="175"/>
      <c r="P7" s="552" t="str">
        <f>IF(LangNo=1,NL!Q7,IF(LangNo=2,EN!Q7,IF(LangNo=3,DE!Q7,IF(LangNo=4,FR!Q7,IF(LangNo=5,NR!Q7,IF(LangNo=6,SP!Q7,IF(LangNo=7,SW!Q7,IF(LangNo=8,TS!Q7,IF(LangNo=9,ExtraTaal1!Q7,IF(LangNo=10,ExtraTaal2!Q7,IF(LangNo=11,ExtraTaal3!Q7,)))))))))))</f>
        <v>Unit conversion</v>
      </c>
      <c r="Q7" s="553">
        <f>IF(LangNo=1,NL!P5,IF(LangNo=2,EN!P5,IF(LangNo=3,DE!P5,IF(LangNo=4,FR!P5,IF(LangNo=5,NR!P5,IF(LangNo=6,SP!P5,IF(LangNo=7,SW!P5,IF(LangNo=8,TS!P5,IF(LangNo=9,ExtraTaal1!P5,IF(LangNo=10,ExtraTaal2!P5,IF(LangNo=11,ExtraTaal3!P5,)))))))))))</f>
        <v>0</v>
      </c>
      <c r="R7" s="649" t="str">
        <f>IF(LangNo=1,NL!S7,IF(LangNo=2,EN!S7,IF(LangNo=3,DE!S7,IF(LangNo=4,FR!S7,IF(LangNo=5,NR!S7,IF(LangNo=6,SP!S7,IF(LangNo=7,SW!S7,IF(LangNo=8,TS!S7,IF(LangNo=9,ExtraTaal1!S7,IF(LangNo=10,ExtraTaal2!S7,IF(LangNo=11,ExtraTaal3!S7,)))))))))))</f>
        <v>Known variables</v>
      </c>
      <c r="S7" s="650">
        <f>IF(LangNo=1,NL!R5,IF(LangNo=2,EN!R5,IF(LangNo=3,DE!R5,IF(LangNo=4,FR!R5,IF(LangNo=5,NR!R5,IF(LangNo=6,SP!R5,IF(LangNo=7,SW!R5,IF(LangNo=8,TS!R5,IF(LangNo=9,ExtraTaal1!R5,IF(LangNo=10,ExtraTaal2!R5,IF(LangNo=11,ExtraTaal3!R5,)))))))))))</f>
        <v>0</v>
      </c>
      <c r="Z7" s="42">
        <f>IF('Briza 22 &amp; 26'!$K$2=cal!$I$1,1,IF('Briza 22 &amp; 26'!$K$2=cal!$J$1,2,IF('Briza 22 &amp; 26'!$K$2=cal!K1,3,IF('Briza 22 &amp; 26'!$K$2=cal!L1,4,IF('Briza 22 &amp; 26'!$K$2=cal!M1,5,IF('Briza 22 &amp; 26'!$K$2=cal!N1,6,IF('Briza 22 &amp; 26'!$K$2=cal!O1,7,IF('Briza 22 &amp; 26'!$K$2=cal!P1,8,IF('Briza 22 &amp; 26'!$K$2=cal!Q1,9,IF('Briza 22 &amp; 26'!$K$2=cal!R1,10,IF('Briza 22 &amp; 26'!$K$2=cal!S1,11,)))))))))))</f>
        <v>2</v>
      </c>
      <c r="AC7" s="2" t="str">
        <f>IF(LangNo=1,NL!$U18,IF(LangNo=2,EN!$U18,IF(LangNo=3,DE!$U18,IF(LangNo=4,FR!$U18,IF(LangNo=5,NR!$U18,IF(LangNo=6,SP!$U18,IF(LangNo=7,SW!$U18,IF(LangNo=8,TS!$U18,IF(LangNo=9,ExtraTaal1!$U18,IF(LangNo=10,ExtraTaal2!$U18,IF(LangNo=11,ExtraTaal3!$U18,)))))))))))</f>
        <v>heating!</v>
      </c>
      <c r="AF7" s="2" t="str">
        <f>IF(LangNo=1,NL!W18,IF(LangNo=2,EN!W18,IF(LangNo=3,DE!W18,IF(LangNo=4,FR!W18,IF(LangNo=5,NR!W18,IF(LangNo=6,SP!W18,IF(LangNo=7,SW!W18,IF(LangNo=8,TS!W18,IF(LangNo=9,ExtraTaal1!W18,IF(LangNo=10,ExtraTaal2!W18,IF(LangNo=11,ExtraTaal3!W18,)))))))))))</f>
        <v>Imperial-units</v>
      </c>
      <c r="AI7" s="285" t="s">
        <v>105</v>
      </c>
      <c r="AK7" s="182" t="str">
        <f>IF($BK$17="11","Briza 22 (120V)",IF($BK$17="21","Briza 22 (120V)",IF($BK$17="12","Briza 22 (230V)",IF($BK$17="22","Briza 22 (230V)",IF($BK$17="13","Briza 22 HP",IF($BK$17="23","Briza 22 HP",IF($BK$17="14","Briza 22 (120V-HP)",IF($BK$17="24","Briza 22 (120V-HP)",IF($BK$17="31","Briza 26 (120V)",IF($BK$17="41","Briza 26 (120V)",IF($BK$17="32","Briza 26 (230V)",IF($BK$17="42","Briza 26 (230V)",IF($BK$17="33","Briza 26 HP",IF($BK$17="43","Briza 26 HP",IF($BK$17="34","Briza 26 (120V-HP)",IF($BK$17="44","Briza 26 (120V-HP)",))))))))))))))))</f>
        <v>Briza 22 (230V)</v>
      </c>
      <c r="AN7" s="164">
        <v>0.5</v>
      </c>
      <c r="AO7" s="163">
        <v>1</v>
      </c>
      <c r="AP7" s="163">
        <v>0.84</v>
      </c>
      <c r="AQ7" s="163">
        <v>0.9</v>
      </c>
      <c r="AR7" s="56">
        <f>IF(AdditNo=1,$AO7,IF(AdditNo=2,$AP7,IF(AdditNo=3,$AQ7)))</f>
        <v>1</v>
      </c>
      <c r="AS7" s="56"/>
      <c r="AV7" s="492">
        <f>AN7</f>
        <v>0.5</v>
      </c>
      <c r="AW7" s="493">
        <v>15</v>
      </c>
      <c r="AX7" s="493">
        <v>-25</v>
      </c>
      <c r="AY7" s="493">
        <v>-25</v>
      </c>
      <c r="AZ7" s="494">
        <f>IF(AdditNo=1,$AW7,IF(AdditNo=2,$AX7,IF(AdditNo=3,$AY7)))</f>
        <v>15</v>
      </c>
      <c r="BA7" s="494"/>
      <c r="BC7" s="2" t="s">
        <v>59</v>
      </c>
      <c r="BJ7" s="54"/>
      <c r="BK7" s="54"/>
      <c r="FM7" s="57"/>
      <c r="FN7" s="328"/>
      <c r="FO7" s="328"/>
      <c r="FP7" s="328"/>
    </row>
    <row r="8" spans="2:237" ht="15" customHeight="1" thickTop="1" thickBot="1" x14ac:dyDescent="0.3">
      <c r="B8" s="176" t="str">
        <f>IF(LangNo=1,NL!A6,IF(LangNo=2,EN!A6,IF(LangNo=3,DE!A6,IF(LangNo=4,FR!A6,IF(LangNo=5,NR!A6,IF(LangNo=6,SP!A6,IF(LangNo=7,SW!A6,IF(LangNo=8,TS!A6,IF(LangNo=9,ExtraTaal1!A6,IF(LangNo=10,ExtraTaal2!A6,IF(LangNo=11,ExtraTaal3!A6,)))))))))))</f>
        <v>Temperatures</v>
      </c>
      <c r="C8" s="10"/>
      <c r="D8" s="10"/>
      <c r="E8" s="10"/>
      <c r="F8" s="10"/>
      <c r="G8" s="10"/>
      <c r="H8" s="10"/>
      <c r="I8" s="10"/>
      <c r="J8" s="10"/>
      <c r="K8" s="10"/>
      <c r="L8" s="10"/>
      <c r="M8" s="634" t="str">
        <f>IF(LangNo=1,NL!L6,IF(LangNo=2,EN!L6,IF(LangNo=3,DE!L6,IF(LangNo=4,FR!L6,IF(LangNo=5,NR!L6,IF(LangNo=6,SP!L6,IF(LangNo=7,SW!L6,IF(LangNo=8,TS!L6,IF(LangNo=9,ExtraTaal1!L6,IF(LangNo=10,ExtraTaal2!L6,IF(LangNo=11,ExtraTaal3!L6,)))))))))))</f>
        <v>Static pressure</v>
      </c>
      <c r="N8" s="635">
        <f>IF(LangNo=1,NL!M6,IF(LangNo=2,EN!M6,IF(LangNo=3,DE!M6,IF(LangNo=4,FR!M6,IF(LangNo=5,NR!M6,IF(LangNo=6,SP!M6,IF(LangNo=7,SW!M6,IF(LangNo=8,TS!M6,IF(LangNo=9,ExtraTaal1!M6,IF(LangNo=10,ExtraTaal2!M6,IF(LangNo=11,ExtraTaal3!M6,)))))))))))</f>
        <v>0</v>
      </c>
      <c r="O8" s="58"/>
      <c r="P8" s="643"/>
      <c r="Q8" s="644"/>
      <c r="R8" s="643"/>
      <c r="S8" s="644"/>
      <c r="Z8" s="42">
        <f>IF('Briza 22 &amp; 26'!$R$4=cal!BE2,1,IF('Briza 22 &amp; 26'!$R$4=cal!BF2,1,IF('Briza 22 &amp; 26'!$R$4=cal!BG2,1,IF('Briza 22 &amp; 26'!$R$4=cal!BH2,1,IF('Briza 22 &amp; 26'!$R$4=cal!BI2,1,IF('Briza 22 &amp; 26'!$R$4=cal!BJ2,1,IF('Briza 22 &amp; 26'!$R$4=cal!BE3,2,IF('Briza 22 &amp; 26'!$R$4=cal!BF3,2,IF('Briza 22 &amp; 26'!$R$4=cal!BG3,2,IF('Briza 22 &amp; 26'!$R$4=cal!BH3,2,IF('Briza 22 &amp; 26'!$R$4=cal!BI3,2,IF('Briza 22 &amp; 26'!$R$4=cal!BJ3,2,))))))))))))</f>
        <v>0</v>
      </c>
      <c r="AC8" s="2" t="str">
        <f>IF(LangNo=1,NL!$U19,IF(LangNo=2,EN!$U19,IF(LangNo=3,DE!$U19,IF(LangNo=4,FR!$U19,IF(LangNo=5,NR!$U19,IF(LangNo=6,SP!$U19,IF(LangNo=7,SW!$U19,IF(LangNo=8,TS!$U19,IF(LangNo=9,ExtraTaal1!$U19,IF(LangNo=10,ExtraTaal2!$U19,IF(LangNo=11,ExtraTaal3!$U19,)))))))))))</f>
        <v>cooling!</v>
      </c>
      <c r="AF8" s="2" t="str">
        <f>IF(LangNo=1,NL!W19,IF(LangNo=2,EN!W19,IF(LangNo=3,DE!W19,IF(LangNo=4,FR!W19,IF(LangNo=5,NR!W19,IF(LangNo=6,SP!W19,IF(LangNo=7,SW!W19,IF(LangNo=8,TS!W19,IF(LangNo=9,ExtraTaal1!W19,IF(LangNo=10,ExtraTaal2!W19,IF(LangNo=11,ExtraTaal3!W19,)))))))))))</f>
        <v>T,wb &amp; RH</v>
      </c>
      <c r="AI8" s="284" t="s">
        <v>106</v>
      </c>
      <c r="AN8" s="164">
        <v>1</v>
      </c>
      <c r="AO8" s="163">
        <v>1</v>
      </c>
      <c r="AR8" s="56">
        <v>1</v>
      </c>
      <c r="AV8" s="492">
        <v>1</v>
      </c>
      <c r="AW8" s="493">
        <v>15</v>
      </c>
      <c r="AX8" s="182"/>
      <c r="AY8" s="182"/>
      <c r="AZ8" s="494">
        <v>15</v>
      </c>
      <c r="BA8" s="182"/>
      <c r="BJ8" s="54"/>
      <c r="BK8" s="54"/>
      <c r="FM8" s="57"/>
      <c r="FN8" s="328"/>
      <c r="FO8" s="328"/>
      <c r="FP8" s="328"/>
    </row>
    <row r="9" spans="2:237" ht="15" customHeight="1" thickBot="1" x14ac:dyDescent="0.3">
      <c r="B9" s="176" t="str">
        <f>IF(LangNo=1,NL!A7,IF(LangNo=2,EN!A7,IF(LangNo=3,DE!A7,IF(LangNo=4,FR!A7,IF(LangNo=5,NR!A7,IF(LangNo=6,SP!A7,IF(LangNo=7,SW!A7,IF(LangNo=8,TS!A7,IF(LangNo=9,ExtraTaal1!A7,IF(LangNo=10,ExtraTaal2!A7,IF(LangNo=11,ExtraTaal3!A7,)))))))))))</f>
        <v>Heating:</v>
      </c>
      <c r="C9" s="10"/>
      <c r="D9" s="10"/>
      <c r="E9" s="10"/>
      <c r="F9" s="10"/>
      <c r="G9" s="12" t="str">
        <f>IF(LangNo=1,NL!F7,IF(LangNo=2,EN!F7,IF(LangNo=3,DE!F7,IF(LangNo=4,FR!F7,IF(LangNo=5,NR!F7,IF(LangNo=6,SP!F7,IF(LangNo=7,SW!F7,IF(LangNo=8,TS!F7,IF(LangNo=9,ExtraTaal1!F7,IF(LangNo=10,ExtraTaal2!F7,IF(LangNo=11,ExtraTaal3!F7,)))))))))))</f>
        <v>Cooling:</v>
      </c>
      <c r="H9" s="12"/>
      <c r="I9" s="12"/>
      <c r="J9" s="10"/>
      <c r="K9" s="10"/>
      <c r="L9" s="10"/>
      <c r="M9" s="636">
        <f>IF(UnitsNo=1,'Briza 22 &amp; 26'!$M$9,IF(UnitsNo=2,'Briza 22 &amp; 26'!$M$9*249.08890833333,))</f>
        <v>0</v>
      </c>
      <c r="N9" s="637"/>
      <c r="O9" s="59"/>
      <c r="P9" s="645"/>
      <c r="Q9" s="646"/>
      <c r="R9" s="645"/>
      <c r="S9" s="646"/>
      <c r="V9" s="56" t="s">
        <v>42</v>
      </c>
      <c r="X9" s="592" t="s">
        <v>88</v>
      </c>
      <c r="Z9" s="40">
        <v>1</v>
      </c>
      <c r="AC9" s="182" t="str">
        <f>IF(LangNo=1,"pijp",IF(LangNo=2,"pipe",IF(LangNo=3,"rohr",IF(LangNo=4,"conduite",IF(LangNo=5,"rør",IF(LangNo=6,"tubos",IF(LangNo=7,"ror",IF(LangNo=8,"trubka",IF(LangNo=9,"ExtraTaal1",IF(LangNo=10,"ExtraTaal2",IF(LangNo=11,"ExtraTaal3",)))))))))))</f>
        <v>pipe</v>
      </c>
      <c r="AF9" s="2" t="str">
        <f>IF(LangNo=1,NL!W20,IF(LangNo=2,EN!W20,IF(LangNo=3,DE!W20,IF(LangNo=4,FR!W20,IF(LangNo=5,NR!W20,IF(LangNo=6,SP!W20,IF(LangNo=7,SW!W20,IF(LangNo=8,TS!W20,IF(LangNo=9,ExtraTaal1!W20,IF(LangNo=10,ExtraTaal2!W20,IF(LangNo=11,ExtraTaal3!W20,)))))))))))</f>
        <v>T,db &amp; RH</v>
      </c>
      <c r="AI9" s="284" t="s">
        <v>108</v>
      </c>
      <c r="AK9" s="520" t="str">
        <f>IF(LangNo=1,NL!W16,IF(LangNo=2,EN!W16,IF(LangNo=3,DE!W16,IF(LangNo=4,FR!W16,IF(LangNo=5,NR!W16,IF(LangNo=6,SP!W16,IF(LangNo=7,SW!W16,IF(LangNo=8,TS!W16,IF(LangNo=9,ExtraTaal1!W16,IF(LangNo=10,ExtraTaal2!W16,IF(LangNo=11,ExtraTaal3!W16,)))))))))))</f>
        <v>Copy all data</v>
      </c>
      <c r="AN9" s="56" t="s">
        <v>313</v>
      </c>
      <c r="AV9" s="182"/>
      <c r="AW9" s="182"/>
      <c r="AX9" s="182"/>
      <c r="AY9" s="182"/>
      <c r="AZ9" s="182"/>
      <c r="BA9" s="182"/>
      <c r="BI9" s="56" t="s">
        <v>42</v>
      </c>
      <c r="BK9" s="56" t="s">
        <v>55</v>
      </c>
      <c r="FM9" s="57"/>
      <c r="FN9" s="328"/>
      <c r="FO9" s="328"/>
      <c r="FP9" s="328"/>
    </row>
    <row r="10" spans="2:237" ht="15" customHeight="1" thickBot="1" x14ac:dyDescent="0.3">
      <c r="B10" s="612" t="str">
        <f>IF(LangNo=1,NL!A8,IF(LangNo=2,EN!A8,IF(LangNo=3,DE!A8,IF(LangNo=4,FR!A8,IF(LangNo=5,NR!A8,IF(LangNo=6,SP!A8,IF(LangNo=7,SW!A8,IF(LangNo=8,TS!A8,IF(LangNo=9,ExtraTaal1!A8,IF(LangNo=10,ExtraTaal2!A8,IF(LangNo=11,ExtraTaal3!A8,)))))))))))</f>
        <v>Supply water</v>
      </c>
      <c r="C10" s="613">
        <f>IF(LangNo=1,NL!B8,IF(LangNo=2,EN!B8,IF(LangNo=3,DE!B8,IF(LangNo=4,FR!B8,IF(LangNo=5,NR!B8,IF(LangNo=6,SP!B8,IF(LangNo=7,SW!B8,IF(LangNo=8,TS!B8,IF(LangNo=9,ExtraTaal1!B8,IF(LangNo=10,ExtraTaal2!B8,IF(LangNo=11,ExtraTaal3!B8,)))))))))))</f>
        <v>0</v>
      </c>
      <c r="D10" s="613">
        <f>IF(LangNo=1,NL!C8,IF(LangNo=2,EN!C8,IF(LangNo=3,DE!C8,IF(LangNo=4,FR!C8,IF(LangNo=5,NR!C8,IF(LangNo=6,SP!C8,IF(LangNo=7,SW!C8,IF(LangNo=8,TS!C8,IF(LangNo=9,ExtraTaal1!C8,IF(LangNo=10,ExtraTaal2!C8,IF(LangNo=11,ExtraTaal3!C8,)))))))))))</f>
        <v>0</v>
      </c>
      <c r="E10" s="13">
        <f>'Briza 22 &amp; 26'!E8</f>
        <v>65</v>
      </c>
      <c r="F10" s="52" t="str">
        <f>IF(UnitsNo=1,"°C",IF(UnitsNo=2,"°F"))</f>
        <v>°C</v>
      </c>
      <c r="G10" s="613" t="str">
        <f>B10</f>
        <v>Supply water</v>
      </c>
      <c r="H10" s="613">
        <f>IF(LangNo=1,NL!G8,IF(LangNo=2,EN!G8,IF(LangNo=3,DE!G8,IF(LangNo=4,FR!G8,IF(LangNo=5,NR!G8,IF(LangNo=6,SP!G8,))))))</f>
        <v>0</v>
      </c>
      <c r="I10" s="613">
        <f>IF(LangNo=1,NL!H8,IF(LangNo=2,EN!H8,IF(LangNo=3,DE!H8,IF(LangNo=4,FR!H8,IF(LangNo=5,NR!H8,IF(LangNo=6,SP!H8,))))))</f>
        <v>0</v>
      </c>
      <c r="J10" s="613">
        <f>IF(LangNo=1,NL!I8,IF(LangNo=2,EN!I8,IF(LangNo=3,DE!I8,IF(LangNo=4,FR!I8,IF(LangNo=5,NR!I8,IF(LangNo=6,SP!I8,))))))</f>
        <v>0</v>
      </c>
      <c r="K10" s="13">
        <f>'Briza 22 &amp; 26'!K8</f>
        <v>16</v>
      </c>
      <c r="L10" s="10"/>
      <c r="M10" s="10"/>
      <c r="N10" s="10"/>
      <c r="O10" s="10"/>
      <c r="P10" s="645"/>
      <c r="Q10" s="646"/>
      <c r="R10" s="645"/>
      <c r="S10" s="646"/>
      <c r="V10" s="61">
        <f>IF(UnitsNo=1,$E10,IF(UnitsNo=2,($E10-Celc2)/Celc1))</f>
        <v>65</v>
      </c>
      <c r="X10" s="593"/>
      <c r="AC10" s="2" t="str">
        <f>IF(LangNo=1,NL!$U10,IF(LangNo=2,EN!$U10,IF(LangNo=3,DE!$U10,IF(LangNo=4,FR!$U10,IF(LangNo=5,NR!$U10,IF(LangNo=6,SP!$U10,IF(LangNo=7,SW!$U10,IF(LangNo=8,TS!$U10,IF(LangNo=9,ExtraTaal1!$U10,IF(LangNo=10,ExtraTaal2!$U10,IF(LangNo=11,ExtraTaal3!$U10,)))))))))))</f>
        <v>Desired flow rate</v>
      </c>
      <c r="AD10" s="155"/>
      <c r="AE10" s="156"/>
      <c r="AF10" s="2" t="str">
        <f>IF(LangNo=1,NL!W21,IF(LangNo=2,EN!W21,IF(LangNo=3,DE!W21,IF(LangNo=4,FR!W21,IF(LangNo=5,NR!W21,IF(LangNo=6,SP!W21,IF(LangNo=7,SW!W21,IF(LangNo=8,TS!W21,IF(LangNo=9,ExtraTaal1!W21,IF(LangNo=10,ExtraTaal2!W21,IF(LangNo=11,ExtraTaal3!W21,)))))))))))</f>
        <v>T,db &amp; T,wb</v>
      </c>
      <c r="AI10" s="284" t="s">
        <v>107</v>
      </c>
      <c r="AK10" s="520" t="str">
        <f>IF(LangNo=1,NL!W17,IF(LangNo=2,EN!W17,IF(LangNo=3,DE!W17,IF(LangNo=4,FR!W17,IF(LangNo=5,NR!W17,IF(LangNo=6,SP!W17,IF(LangNo=7,SW!W17,IF(LangNo=8,TS!W17,IF(LangNo=9,ExtraTaal1!W17,IF(LangNo=10,ExtraTaal2!W17,IF(LangNo=11,ExtraTaal3!W17,)))))))))))</f>
        <v>SI-units</v>
      </c>
      <c r="AN10" s="56">
        <v>1.2</v>
      </c>
      <c r="AQ10" s="156"/>
      <c r="AR10" s="156"/>
      <c r="AU10" s="156"/>
      <c r="AV10" s="156"/>
      <c r="AW10" s="156"/>
      <c r="AX10" s="156"/>
      <c r="AY10" s="156"/>
      <c r="AZ10" s="156"/>
      <c r="BI10" s="61">
        <f>IF(UnitsNo=1,$K10,IF(UnitsNo=2,($K10-Celc2)/Celc1))</f>
        <v>16</v>
      </c>
      <c r="BJ10" s="62"/>
      <c r="BK10" s="63">
        <f>IF(UnitsNo=1,M9/10,IF(UnitsNo=2,M9*24.90889083))</f>
        <v>0</v>
      </c>
      <c r="FM10" s="57"/>
      <c r="FN10" s="328"/>
      <c r="FO10" s="328"/>
      <c r="FP10" s="328"/>
    </row>
    <row r="11" spans="2:237" ht="15" customHeight="1" thickBot="1" x14ac:dyDescent="0.3">
      <c r="B11" s="612" t="str">
        <f>IF(LangNo=1,NL!A9,IF(LangNo=2,EN!A9,IF(LangNo=3,DE!A9,IF(LangNo=4,FR!A9,IF(LangNo=5,NR!A9,IF(LangNo=6,SP!A9,IF(LangNo=7,SW!A9,IF(LangNo=8,TS!A9,IF(LangNo=9,ExtraTaal1!A9,IF(LangNo=10,ExtraTaal2!A9,IF(LangNo=11,ExtraTaal3!A9,)))))))))))</f>
        <v>Return water</v>
      </c>
      <c r="C11" s="613">
        <f>IF(LangNo=1,NL!B9,IF(LangNo=2,EN!B9,IF(LangNo=3,DE!B9,IF(LangNo=4,FR!B9,IF(LangNo=5,NR!B9,IF(LangNo=6,SP!B9,IF(LangNo=7,SW!B9,IF(LangNo=8,TS!B9,IF(LangNo=9,ExtraTaal1!B9,IF(LangNo=10,ExtraTaal2!B9,IF(LangNo=11,ExtraTaal3!B9,)))))))))))</f>
        <v>0</v>
      </c>
      <c r="D11" s="613">
        <f>IF(LangNo=1,NL!C9,IF(LangNo=2,EN!C9,IF(LangNo=3,DE!C9,IF(LangNo=4,FR!C9,IF(LangNo=5,NR!C9,IF(LangNo=6,SP!C9,IF(LangNo=7,SW!C9,IF(LangNo=8,TS!C9,IF(LangNo=9,ExtraTaal1!C9,IF(LangNo=10,ExtraTaal2!C9,IF(LangNo=11,ExtraTaal3!C9,)))))))))))</f>
        <v>0</v>
      </c>
      <c r="E11" s="13">
        <f>'Briza 22 &amp; 26'!E9</f>
        <v>55</v>
      </c>
      <c r="F11" s="52" t="str">
        <f>F10</f>
        <v>°C</v>
      </c>
      <c r="G11" s="613" t="str">
        <f t="shared" ref="G11:G12" si="0">B11</f>
        <v>Return water</v>
      </c>
      <c r="H11" s="613">
        <f>IF(LangNo=1,NL!G9,IF(LangNo=2,EN!G9,IF(LangNo=3,DE!G9,IF(LangNo=4,FR!G9,IF(LangNo=5,NR!G9,IF(LangNo=6,SP!G9,))))))</f>
        <v>0</v>
      </c>
      <c r="I11" s="613">
        <f>IF(LangNo=1,NL!H9,IF(LangNo=2,EN!H9,IF(LangNo=3,DE!H9,IF(LangNo=4,FR!H9,IF(LangNo=5,NR!H9,IF(LangNo=6,SP!H9,))))))</f>
        <v>0</v>
      </c>
      <c r="J11" s="613">
        <f>IF(LangNo=1,NL!I9,IF(LangNo=2,EN!I9,IF(LangNo=3,DE!I9,IF(LangNo=4,FR!I9,IF(LangNo=5,NR!I9,IF(LangNo=6,SP!I9,))))))</f>
        <v>0</v>
      </c>
      <c r="K11" s="13">
        <f>'Briza 22 &amp; 26'!K9</f>
        <v>18</v>
      </c>
      <c r="L11" s="10"/>
      <c r="M11" s="634" t="str">
        <f>IF(LangNo=1,NL!L9,IF(LangNo=2,EN!L9,IF(LangNo=3,DE!L9,IF(LangNo=4,FR!L9,IF(LangNo=5,NR!L9,IF(LangNo=6,SP!L9,IF(LangNo=7,SW!L9,IF(LangNo=8,TS!L9,IF(LangNo=9,ExtraTaal1!L9,IF(LangNo=10,ExtraTaal2!L9,IF(LangNo=11,ExtraTaal3!L9,)))))))))))</f>
        <v>Altitude</v>
      </c>
      <c r="N11" s="635">
        <f>IF(LangNo=1,NL!M9,IF(LangNo=2,EN!M9,IF(LangNo=3,DE!M9,IF(LangNo=4,FR!M9,IF(LangNo=5,NR!M9,IF(LangNo=6,SP!M9,IF(LangNo=7,SW!M9,IF(LangNo=8,TS!M9,IF(LangNo=9,ExtraTaal1!M9,IF(LangNo=10,ExtraTaal2!M9,IF(LangNo=11,ExtraTaal3!M9,)))))))))))</f>
        <v>0</v>
      </c>
      <c r="O11" s="10"/>
      <c r="P11" s="647"/>
      <c r="Q11" s="648"/>
      <c r="R11" s="647"/>
      <c r="S11" s="648"/>
      <c r="V11" s="61">
        <f>IF(UnitsNo=1,$E11,IF(UnitsNo=2,($E11-Celc2)/Celc1))</f>
        <v>55</v>
      </c>
      <c r="X11" s="594"/>
      <c r="AC11" s="2" t="str">
        <f>IF(LangNo=1,NL!$U11,IF(LangNo=2,EN!$U11,IF(LangNo=3,DE!$U11,IF(LangNo=4,FR!$U11,IF(LangNo=5,NR!$U11,IF(LangNo=6,SP!$U11,IF(LangNo=7,SW!$U11,IF(LangNo=8,TS!$U11,IF(LangNo=9,ExtraTaal1!$U11,IF(LangNo=10,ExtraTaal2!$U11,IF(LangNo=11,ExtraTaal3!$U11,)))))))))))</f>
        <v>To calculate on</v>
      </c>
      <c r="AD11" s="155"/>
      <c r="AF11" s="2" t="str">
        <f>IF(LangNo=1,NL!W22,IF(LangNo=2,EN!W22,IF(LangNo=3,DE!W22,IF(LangNo=4,FR!W22,IF(LangNo=5,NR!W22,IF(LangNo=6,SP!W22,IF(LangNo=7,SW!W22,IF(LangNo=8,TS!W22,IF(LangNo=9,ExtraTaal1!W22,IF(LangNo=10,ExtraTaal2!W22,IF(LangNo=11,ExtraTaal3!W22,)))))))))))</f>
        <v>Only on request!</v>
      </c>
      <c r="AI11" s="284" t="s">
        <v>256</v>
      </c>
      <c r="AK11" s="520" t="str">
        <f>IF(LangNo=1,NL!W18,IF(LangNo=2,EN!W18,IF(LangNo=3,DE!W18,IF(LangNo=4,FR!W18,IF(LangNo=5,NR!W18,IF(LangNo=6,SP!W18,IF(LangNo=7,SW!W18,IF(LangNo=8,TS!W18,IF(LangNo=9,ExtraTaal1!W18,IF(LangNo=10,ExtraTaal2!W18,IF(LangNo=11,ExtraTaal3!W18,)))))))))))</f>
        <v>Imperial-units</v>
      </c>
      <c r="BI11" s="61">
        <f>IF(UnitsNo=1,$K11,IF(UnitsNo=2,($K11-Celc2)/Celc1))</f>
        <v>18</v>
      </c>
      <c r="BJ11" s="62"/>
      <c r="BK11" s="283" t="s">
        <v>56</v>
      </c>
    </row>
    <row r="12" spans="2:237" ht="15" customHeight="1" thickBot="1" x14ac:dyDescent="0.3">
      <c r="B12" s="612" t="str">
        <f>IF(LangNo=1,NL!A10,IF(LangNo=2,EN!A10,IF(LangNo=3,DE!A10,IF(LangNo=4,FR!A10,IF(LangNo=5,NR!A10,IF(LangNo=6,SP!A10,IF(LangNo=7,SW!A10,IF(LangNo=8,TS!A10,IF(LangNo=9,ExtraTaal1!A10,IF(LangNo=10,ExtraTaal2!A10,IF(LangNo=11,ExtraTaal3!A10,)))))))))))</f>
        <v>Entering air (dry bulb)</v>
      </c>
      <c r="C12" s="613">
        <f>IF(LangNo=1,NL!B10,IF(LangNo=2,EN!B10,IF(LangNo=3,DE!B10,IF(LangNo=4,FR!B10,IF(LangNo=5,NR!B10,IF(LangNo=6,SP!B10,IF(LangNo=7,SW!B10,IF(LangNo=8,TS!B10,IF(LangNo=9,ExtraTaal1!B10,IF(LangNo=10,ExtraTaal2!B10,IF(LangNo=11,ExtraTaal3!B10,)))))))))))</f>
        <v>0</v>
      </c>
      <c r="D12" s="613">
        <f>IF(LangNo=1,NL!C10,IF(LangNo=2,EN!C10,IF(LangNo=3,DE!C10,IF(LangNo=4,FR!C10,IF(LangNo=5,NR!C10,IF(LangNo=6,SP!C10,IF(LangNo=7,SW!C10,IF(LangNo=8,TS!C10,IF(LangNo=9,ExtraTaal1!C10,IF(LangNo=10,ExtraTaal2!C10,IF(LangNo=11,ExtraTaal3!C10,)))))))))))</f>
        <v>0</v>
      </c>
      <c r="E12" s="13">
        <f>'Briza 22 &amp; 26'!E10</f>
        <v>20</v>
      </c>
      <c r="F12" s="52" t="str">
        <f>F10</f>
        <v>°C</v>
      </c>
      <c r="G12" s="613" t="str">
        <f t="shared" si="0"/>
        <v>Entering air (dry bulb)</v>
      </c>
      <c r="H12" s="613">
        <f>IF(LangNo=1,NL!G10,IF(LangNo=2,EN!G10,IF(LangNo=3,DE!G10,IF(LangNo=4,FR!G10,IF(LangNo=5,NR!G10,IF(LangNo=6,SP!G10,))))))</f>
        <v>0</v>
      </c>
      <c r="I12" s="613">
        <f>IF(LangNo=1,NL!H10,IF(LangNo=2,EN!H10,IF(LangNo=3,DE!H10,IF(LangNo=4,FR!H10,IF(LangNo=5,NR!H10,IF(LangNo=6,SP!H10,))))))</f>
        <v>0</v>
      </c>
      <c r="J12" s="613">
        <f>IF(LangNo=1,NL!I10,IF(LangNo=2,EN!I10,IF(LangNo=3,DE!I10,IF(LangNo=4,FR!I10,IF(LangNo=5,NR!I10,IF(LangNo=6,SP!I10,))))))</f>
        <v>0</v>
      </c>
      <c r="K12" s="13">
        <f>'Briza 22 &amp; 26'!K10</f>
        <v>27</v>
      </c>
      <c r="L12" s="10"/>
      <c r="M12" s="641">
        <f>'Briza 22 &amp; 26'!M11:N11</f>
        <v>0</v>
      </c>
      <c r="N12" s="642"/>
      <c r="O12" s="10"/>
      <c r="P12" s="10"/>
      <c r="Q12" s="10"/>
      <c r="R12" s="10"/>
      <c r="S12" s="177"/>
      <c r="V12" s="61">
        <f>IF(UnitsNo=1,$E12,IF(UnitsNo=2,($E12-Celc2)/Celc1))</f>
        <v>20</v>
      </c>
      <c r="X12" s="56">
        <f>IF(CaseNo=1,1,IF(CaseNo=2,0.868616242602513))</f>
        <v>1</v>
      </c>
      <c r="AC12" s="2" t="str">
        <f>IF(UnitsNo=1,"[l/h]","[GPM]")</f>
        <v>[l/h]</v>
      </c>
      <c r="AF12" s="2" t="str">
        <f>IF(LangNo=1,NL!W23,IF(LangNo=2,EN!W23,IF(LangNo=3,DE!W23,IF(LangNo=4,FR!W23,IF(LangNo=5,NR!W23,IF(LangNo=6,SP!W23,IF(LangNo=7,SW!W23,IF(LangNo=8,TS!W23,IF(LangNo=9,ExtraTaal1!W23,IF(LangNo=10,ExtraTaal2!W23,IF(LangNo=11,ExtraTaal3!W23,)))))))))))</f>
        <v>Product not available with casing!</v>
      </c>
      <c r="AI12" s="284" t="s">
        <v>255</v>
      </c>
      <c r="BI12" s="61">
        <f>IF(UnitsNo=1,$K12,IF(UnitsNo=2,($K12-Celc2)/Celc1))</f>
        <v>27</v>
      </c>
      <c r="BJ12" s="62"/>
      <c r="BK12" s="64">
        <f>IF(UnitsNo=1,(101325*(1-((0.0065*Geg_Altit)/288.15))^((9.81*0.028964)/(8.31447*0.0065))),IF(UnitsNo=2,(101325*(1-((0.0065*(Geg_Altit*0.3048))/288.15))^((9.81*0.028964)/(8.31447*0.0065)))))</f>
        <v>101325</v>
      </c>
    </row>
    <row r="13" spans="2:237" ht="15" customHeight="1" x14ac:dyDescent="0.25">
      <c r="B13" s="612" t="str">
        <f>IF(LangNo=1,NL!A11,IF(LangNo=2,EN!A11,IF(LangNo=3,DE!A11,IF(LangNo=4,FR!A11,IF(LangNo=5,NR!A11,IF(LangNo=6,SP!A11,IF(LangNo=7,SW!A11,IF(LangNo=8,TS!A11,IF(LangNo=9,ExtraTaal1!A11,IF(LangNo=10,ExtraTaal2!A11,IF(LangNo=11,ExtraTaal3!A11,)))))))))))</f>
        <v>Entering air (wet bulb)</v>
      </c>
      <c r="C13" s="613">
        <f>IF(LangNo=1,NL!B11,IF(LangNo=2,EN!B11,IF(LangNo=3,DE!B11,IF(LangNo=4,FR!B11,IF(LangNo=5,NR!B11,IF(LangNo=6,SP!B11,IF(LangNo=7,SW!B11,IF(LangNo=8,TS!B11,IF(LangNo=9,ExtraTaal1!B11,IF(LangNo=10,ExtraTaal2!B11,IF(LangNo=11,ExtraTaal3!B11,)))))))))))</f>
        <v>0</v>
      </c>
      <c r="D13" s="614">
        <f>IF(LangNo=1,NL!C11,IF(LangNo=2,EN!C11,IF(LangNo=3,DE!C11,IF(LangNo=4,FR!C11,IF(LangNo=5,NR!C11,IF(LangNo=6,SP!C11,IF(LangNo=7,SW!C11,IF(LangNo=8,TS!C11,IF(LangNo=9,ExtraTaal1!C11,IF(LangNo=10,ExtraTaal2!C11,IF(LangNo=11,ExtraTaal3!C11,)))))))))))</f>
        <v>0</v>
      </c>
      <c r="E13" s="296"/>
      <c r="F13" s="10"/>
      <c r="G13" s="613" t="str">
        <f>B13</f>
        <v>Entering air (wet bulb)</v>
      </c>
      <c r="H13" s="613">
        <f>IF(LangNo=1,NL!G11,IF(LangNo=2,EN!G11,IF(LangNo=3,DE!G11,IF(LangNo=4,FR!G11,IF(LangNo=5,NR!G11,IF(LangNo=6,SP!G11,))))))</f>
        <v>0</v>
      </c>
      <c r="I13" s="613">
        <f>IF(LangNo=1,NL!H11,IF(LangNo=2,EN!H11,IF(LangNo=3,DE!H11,IF(LangNo=4,FR!H11,IF(LangNo=5,NR!H11,IF(LangNo=6,SP!H11,))))))</f>
        <v>0</v>
      </c>
      <c r="J13" s="613">
        <f>IF(LangNo=1,NL!I11,IF(LangNo=2,EN!I11,IF(LangNo=3,DE!I11,IF(LangNo=4,FR!I11,IF(LangNo=5,NR!I11,IF(LangNo=6,SP!I11,))))))</f>
        <v>0</v>
      </c>
      <c r="K13" s="296">
        <f>'Briza 22 &amp; 26'!K11</f>
        <v>19.415087041495514</v>
      </c>
      <c r="L13" s="10"/>
      <c r="M13" s="10"/>
      <c r="N13" s="10"/>
      <c r="O13" s="10"/>
      <c r="P13" s="10"/>
      <c r="Q13" s="10"/>
      <c r="R13" s="10"/>
      <c r="S13" s="177"/>
      <c r="T13" s="10"/>
      <c r="V13" s="61">
        <f>IF(UnitsNo=1,$E13,IF(UnitsNo=2,($E13-Celc2)/Celc1))</f>
        <v>0</v>
      </c>
      <c r="AI13" s="2" t="s">
        <v>442</v>
      </c>
      <c r="BI13" s="61">
        <f>IF(UnitsNo=1,$K13,IF(UnitsNo=2,($K13-Celc2)/Celc1))</f>
        <v>19.415087041495514</v>
      </c>
      <c r="BL13" s="65"/>
      <c r="ER13" s="654" t="s">
        <v>91</v>
      </c>
      <c r="ES13" s="655"/>
      <c r="ET13" s="655"/>
      <c r="EU13" s="656"/>
      <c r="EV13" s="654" t="s">
        <v>92</v>
      </c>
      <c r="EW13" s="655"/>
      <c r="EX13" s="655"/>
      <c r="EY13" s="656"/>
      <c r="EZ13" s="57"/>
      <c r="FA13" s="654" t="s">
        <v>91</v>
      </c>
      <c r="FB13" s="655"/>
      <c r="FC13" s="655"/>
      <c r="FD13" s="656"/>
      <c r="FE13" s="654" t="s">
        <v>92</v>
      </c>
      <c r="FF13" s="655"/>
      <c r="FG13" s="655"/>
      <c r="FH13" s="656"/>
    </row>
    <row r="14" spans="2:237" ht="15" customHeight="1" x14ac:dyDescent="0.25">
      <c r="B14" s="178"/>
      <c r="C14" s="179"/>
      <c r="D14" s="179"/>
      <c r="E14" s="346">
        <v>0.5</v>
      </c>
      <c r="F14" s="296">
        <f>'Briza 22 &amp; 26'!$E$11</f>
        <v>0</v>
      </c>
      <c r="G14" s="10" t="str">
        <f>IF(LangNo=1,NL!F11,IF(LangNo=2,EN!F11,IF(LangNo=3,DE!F11,IF(LangNo=4,FR!F11,IF(LangNo=5,NR!F11,IF(LangNo=6,SP!F11,IF(LangNo=7,SW!F11,IF(LangNo=8,TS!F11,IF(LangNo=9,ExtraTaal1!F11,IF(LangNo=10,ExtraTaal2!F11,IF(LangNo=11,ExtraTaal3!F11,)))))))))))</f>
        <v>Relative humidity</v>
      </c>
      <c r="H14" s="10"/>
      <c r="I14" s="10"/>
      <c r="J14" s="10"/>
      <c r="K14" s="15">
        <f>'Briza 22 &amp; 26'!K12</f>
        <v>0.5</v>
      </c>
      <c r="L14" s="180"/>
      <c r="M14" s="180"/>
      <c r="N14" s="180"/>
      <c r="O14" s="180"/>
      <c r="P14" s="180"/>
      <c r="Q14" s="180"/>
      <c r="R14" s="180"/>
      <c r="S14" s="181"/>
      <c r="T14" s="10"/>
      <c r="AC14" s="654" t="s">
        <v>91</v>
      </c>
      <c r="AD14" s="655"/>
      <c r="AE14" s="655"/>
      <c r="AF14" s="655"/>
      <c r="AG14" s="655"/>
      <c r="AH14" s="655"/>
      <c r="AI14" s="655"/>
      <c r="AJ14" s="655"/>
      <c r="AK14" s="655"/>
      <c r="AL14" s="655"/>
      <c r="AM14" s="655"/>
      <c r="AN14" s="655"/>
      <c r="AO14" s="655"/>
      <c r="AP14" s="655"/>
      <c r="AQ14" s="655"/>
      <c r="AR14" s="656"/>
      <c r="AS14" s="654" t="s">
        <v>92</v>
      </c>
      <c r="AT14" s="655"/>
      <c r="AU14" s="655"/>
      <c r="AV14" s="655"/>
      <c r="AW14" s="655"/>
      <c r="AX14" s="655"/>
      <c r="AY14" s="655"/>
      <c r="AZ14" s="655"/>
      <c r="BA14" s="655"/>
      <c r="BB14" s="655"/>
      <c r="BC14" s="655"/>
      <c r="BD14" s="655"/>
      <c r="BE14" s="655"/>
      <c r="BF14" s="655"/>
      <c r="BG14" s="655"/>
      <c r="BH14" s="656"/>
      <c r="BL14" s="65"/>
      <c r="BM14" s="65"/>
      <c r="BN14" s="318"/>
      <c r="BO14" s="318"/>
      <c r="BP14" s="318"/>
      <c r="BQ14" s="318"/>
      <c r="BR14" s="318"/>
      <c r="BS14" s="318"/>
      <c r="BT14" s="318"/>
      <c r="BU14" s="318"/>
      <c r="BV14" s="318"/>
      <c r="BW14" s="318"/>
      <c r="BX14" s="318"/>
      <c r="BY14" s="318"/>
      <c r="CN14" s="318"/>
      <c r="CO14" s="318"/>
      <c r="CP14" s="318"/>
      <c r="CQ14" s="318"/>
      <c r="CR14" s="318"/>
      <c r="CS14" s="318"/>
      <c r="CT14" s="318"/>
      <c r="CU14" s="318"/>
      <c r="CV14" s="318"/>
      <c r="CW14" s="318"/>
      <c r="CX14" s="318"/>
      <c r="CY14" s="318"/>
      <c r="CZ14" s="318"/>
      <c r="DA14" s="318"/>
      <c r="DB14" s="318"/>
      <c r="DC14" s="318"/>
      <c r="DD14" s="318"/>
      <c r="DE14" s="318"/>
      <c r="DF14" s="318"/>
      <c r="DG14" s="318"/>
      <c r="DH14" s="318"/>
      <c r="DI14" s="318"/>
      <c r="DJ14" s="318"/>
      <c r="DK14" s="318"/>
      <c r="DL14" s="318"/>
      <c r="DM14" s="318"/>
      <c r="DN14" s="318"/>
      <c r="DO14" s="318"/>
      <c r="DP14" s="318"/>
      <c r="DQ14" s="318"/>
      <c r="DR14" s="318"/>
      <c r="DS14" s="318"/>
      <c r="DT14" s="318"/>
      <c r="DU14" s="318"/>
      <c r="DV14" s="318"/>
      <c r="DW14" s="318"/>
      <c r="DX14" s="318"/>
      <c r="DY14" s="318"/>
      <c r="DZ14" s="318"/>
      <c r="EA14" s="318"/>
      <c r="EB14" s="318"/>
      <c r="EC14" s="318"/>
      <c r="ED14" s="318"/>
      <c r="EE14" s="318"/>
      <c r="EF14" s="318"/>
      <c r="EG14" s="318"/>
      <c r="EH14" s="318"/>
      <c r="EI14" s="318"/>
      <c r="EJ14" s="318"/>
      <c r="EK14" s="318"/>
      <c r="EL14" s="318"/>
      <c r="EM14" s="318"/>
      <c r="EN14" s="318"/>
      <c r="EO14" s="318"/>
      <c r="EP14" s="318"/>
      <c r="EQ14" s="318"/>
      <c r="ER14" s="661"/>
      <c r="ES14" s="662"/>
      <c r="ET14" s="662"/>
      <c r="EU14" s="663"/>
      <c r="EV14" s="661"/>
      <c r="EW14" s="662"/>
      <c r="EX14" s="662"/>
      <c r="EY14" s="663"/>
      <c r="EZ14" s="57"/>
      <c r="FA14" s="661"/>
      <c r="FB14" s="662"/>
      <c r="FC14" s="662"/>
      <c r="FD14" s="663"/>
      <c r="FE14" s="661"/>
      <c r="FF14" s="662"/>
      <c r="FG14" s="662"/>
      <c r="FH14" s="663"/>
    </row>
    <row r="15" spans="2:237" ht="15" customHeight="1" thickBot="1" x14ac:dyDescent="0.3">
      <c r="B15" s="182"/>
      <c r="C15" s="182"/>
      <c r="D15" s="278">
        <f>IF(UnitsNo=1,1,IF(UnitsNo=2,3.412141633))</f>
        <v>1</v>
      </c>
      <c r="E15" s="278">
        <f>IF(UnitsNo=1,1,IF(UnitsNo=2,0.004403))</f>
        <v>1</v>
      </c>
      <c r="F15" s="278">
        <f>IF(UnitsNo=1,1,IF(UnitsNo=2,0.334562))</f>
        <v>1</v>
      </c>
      <c r="G15" s="278"/>
      <c r="H15" s="278">
        <f>IF(UnitsNo=1,5,9)</f>
        <v>5</v>
      </c>
      <c r="I15" s="278"/>
      <c r="J15" s="278"/>
      <c r="K15" s="278">
        <f>IF(UnitsNo=2,1,IF(UnitsNo=1,0.588575))</f>
        <v>0.58857499999999996</v>
      </c>
      <c r="L15" s="279">
        <f>IF(UnitsNo=1,0.000334444444444444,IF(UnitsNo=2,0.000568224721372))</f>
        <v>3.3444444444444401E-4</v>
      </c>
      <c r="M15" s="278">
        <f>IF(UnitsNo=1,1,IF(UnitsNo=2,196.85039370079))</f>
        <v>1</v>
      </c>
      <c r="N15" s="278">
        <f>IF(UnitsNo=1,1,IF(UnitsNo=2,0.588575))</f>
        <v>1</v>
      </c>
      <c r="O15" s="278">
        <f>IF(UnitsNo=1,1,IF(UnitsNo=2,1.8))</f>
        <v>1</v>
      </c>
      <c r="P15" s="278"/>
      <c r="Q15" s="278">
        <f>IF(UnitsNo=1,0,IF(UnitsNo=2,32))</f>
        <v>0</v>
      </c>
      <c r="R15" s="340">
        <f>IF(UnitsNo=1,1,IF(UnitsNo=2,0.393700787))</f>
        <v>1</v>
      </c>
      <c r="S15" s="341"/>
      <c r="T15" s="257"/>
      <c r="U15" s="314"/>
      <c r="V15" s="314"/>
      <c r="W15" s="315">
        <v>0.875</v>
      </c>
      <c r="X15" s="651" t="s">
        <v>81</v>
      </c>
      <c r="Y15" s="652"/>
      <c r="Z15" s="652"/>
      <c r="AA15" s="652"/>
      <c r="AB15" s="653"/>
      <c r="AC15" s="632" t="s">
        <v>79</v>
      </c>
      <c r="AD15" s="630"/>
      <c r="AE15" s="630"/>
      <c r="AF15" s="633"/>
      <c r="AG15" s="632" t="s">
        <v>318</v>
      </c>
      <c r="AH15" s="630"/>
      <c r="AI15" s="630"/>
      <c r="AJ15" s="633"/>
      <c r="AK15" s="632" t="s">
        <v>78</v>
      </c>
      <c r="AL15" s="630"/>
      <c r="AM15" s="630"/>
      <c r="AN15" s="633"/>
      <c r="AO15" s="632" t="s">
        <v>80</v>
      </c>
      <c r="AP15" s="630"/>
      <c r="AQ15" s="630"/>
      <c r="AR15" s="633"/>
      <c r="AS15" s="632" t="s">
        <v>79</v>
      </c>
      <c r="AT15" s="630"/>
      <c r="AU15" s="630"/>
      <c r="AV15" s="633"/>
      <c r="AW15" s="632" t="s">
        <v>318</v>
      </c>
      <c r="AX15" s="630"/>
      <c r="AY15" s="630"/>
      <c r="AZ15" s="633"/>
      <c r="BA15" s="632" t="s">
        <v>78</v>
      </c>
      <c r="BB15" s="630"/>
      <c r="BC15" s="630"/>
      <c r="BD15" s="633"/>
      <c r="BE15" s="632" t="s">
        <v>80</v>
      </c>
      <c r="BF15" s="630"/>
      <c r="BG15" s="630"/>
      <c r="BH15" s="633"/>
      <c r="BK15" s="651" t="s">
        <v>81</v>
      </c>
      <c r="BL15" s="652"/>
      <c r="BM15" s="653"/>
      <c r="BN15" s="632" t="s">
        <v>91</v>
      </c>
      <c r="BO15" s="630"/>
      <c r="BP15" s="630"/>
      <c r="BQ15" s="630"/>
      <c r="BR15" s="630"/>
      <c r="BS15" s="633"/>
      <c r="BT15" s="632" t="s">
        <v>92</v>
      </c>
      <c r="BU15" s="630"/>
      <c r="BV15" s="630"/>
      <c r="BW15" s="630"/>
      <c r="BX15" s="630"/>
      <c r="BY15" s="633"/>
      <c r="BZ15" s="651" t="s">
        <v>81</v>
      </c>
      <c r="CA15" s="652"/>
      <c r="CB15" s="652"/>
      <c r="CC15" s="652"/>
      <c r="CD15" s="652"/>
      <c r="CE15" s="652"/>
      <c r="CF15" s="652"/>
      <c r="CG15" s="652"/>
      <c r="CH15" s="652"/>
      <c r="CI15" s="652"/>
      <c r="CJ15" s="652"/>
      <c r="CK15" s="652"/>
      <c r="CL15" s="652"/>
      <c r="CM15" s="653"/>
      <c r="CN15" s="632" t="s">
        <v>79</v>
      </c>
      <c r="CO15" s="630"/>
      <c r="CP15" s="630"/>
      <c r="CQ15" s="630"/>
      <c r="CR15" s="630"/>
      <c r="CS15" s="630"/>
      <c r="CT15" s="630"/>
      <c r="CU15" s="630"/>
      <c r="CV15" s="630"/>
      <c r="CW15" s="630"/>
      <c r="CX15" s="630"/>
      <c r="CY15" s="630"/>
      <c r="CZ15" s="630"/>
      <c r="DA15" s="630"/>
      <c r="DB15" s="629" t="s">
        <v>318</v>
      </c>
      <c r="DC15" s="630"/>
      <c r="DD15" s="630"/>
      <c r="DE15" s="630"/>
      <c r="DF15" s="630"/>
      <c r="DG15" s="630"/>
      <c r="DH15" s="630"/>
      <c r="DI15" s="630"/>
      <c r="DJ15" s="630"/>
      <c r="DK15" s="630"/>
      <c r="DL15" s="630"/>
      <c r="DM15" s="630"/>
      <c r="DN15" s="630"/>
      <c r="DO15" s="631"/>
      <c r="DP15" s="629" t="s">
        <v>78</v>
      </c>
      <c r="DQ15" s="630"/>
      <c r="DR15" s="630"/>
      <c r="DS15" s="630"/>
      <c r="DT15" s="630"/>
      <c r="DU15" s="630"/>
      <c r="DV15" s="630"/>
      <c r="DW15" s="630"/>
      <c r="DX15" s="630"/>
      <c r="DY15" s="630"/>
      <c r="DZ15" s="630"/>
      <c r="EA15" s="630"/>
      <c r="EB15" s="630"/>
      <c r="EC15" s="631"/>
      <c r="ED15" s="630" t="s">
        <v>80</v>
      </c>
      <c r="EE15" s="630"/>
      <c r="EF15" s="630"/>
      <c r="EG15" s="630"/>
      <c r="EH15" s="630"/>
      <c r="EI15" s="630"/>
      <c r="EJ15" s="630"/>
      <c r="EK15" s="630"/>
      <c r="EL15" s="630"/>
      <c r="EM15" s="630"/>
      <c r="EN15" s="630"/>
      <c r="EO15" s="630"/>
      <c r="EP15" s="630"/>
      <c r="EQ15" s="630"/>
      <c r="ER15" s="139" t="s">
        <v>79</v>
      </c>
      <c r="ES15" s="139" t="s">
        <v>320</v>
      </c>
      <c r="ET15" s="139" t="s">
        <v>78</v>
      </c>
      <c r="EU15" s="139" t="s">
        <v>319</v>
      </c>
      <c r="EV15" s="139" t="s">
        <v>79</v>
      </c>
      <c r="EW15" s="139" t="s">
        <v>320</v>
      </c>
      <c r="EX15" s="139" t="s">
        <v>78</v>
      </c>
      <c r="EY15" s="139" t="s">
        <v>319</v>
      </c>
      <c r="EZ15" s="139" t="s">
        <v>81</v>
      </c>
      <c r="FA15" s="141" t="s">
        <v>79</v>
      </c>
      <c r="FB15" s="141" t="s">
        <v>320</v>
      </c>
      <c r="FC15" s="141" t="s">
        <v>78</v>
      </c>
      <c r="FD15" s="141" t="s">
        <v>319</v>
      </c>
      <c r="FE15" s="141" t="s">
        <v>79</v>
      </c>
      <c r="FF15" s="141" t="s">
        <v>320</v>
      </c>
      <c r="FG15" s="141" t="s">
        <v>78</v>
      </c>
      <c r="FH15" s="141" t="s">
        <v>319</v>
      </c>
    </row>
    <row r="16" spans="2:237" s="28" customFormat="1" ht="103.5" customHeight="1" thickTop="1" x14ac:dyDescent="0.25">
      <c r="B16" s="183" t="str">
        <f>IF(LangNo=1,NL!A14,IF(LangNo=2,EN!A14,IF(LangNo=3,DE!A14,IF(LangNo=4,FR!A14,IF(LangNo=5,NR!A14,IF(LangNo=6,SP!A14,IF(LangNo=7,SW!A14,IF(LangNo=8,TS!A14,IF(LangNo=9,ExtraTaal1!A14,IF(LangNo=10,ExtraTaal2!A14,IF(LangNo=11,ExtraTaal3!A14,)))))))))))</f>
        <v>Speed level</v>
      </c>
      <c r="C16" s="184" t="str">
        <f>IF(LangNo=1,NL!B14,IF(LangNo=2,EN!B14,IF(LangNo=3,DE!B14,IF(LangNo=4,FR!B14,IF(LangNo=5,NR!B14,IF(LangNo=6,SP!B14,IF(LangNo=7,SW!B14,IF(LangNo=8,TS!B14,IF(LangNo=9,ExtraTaal1!B14,IF(LangNo=10,ExtraTaal2!B14,IF(LangNo=11,ExtraTaal3!B14,)))))))))))</f>
        <v>Control voltage [V]</v>
      </c>
      <c r="D16" s="185" t="str">
        <f>IF(LangNo=1,NL!C14,IF(LangNo=2,EN!C14,IF(LangNo=3,DE!C14,IF(LangNo=4,FR!C14,IF(LangNo=5,NR!C14,IF(LangNo=6,SP!C14,IF(LangNo=7,SW!C14,IF(LangNo=8,TS!C14,IF(LangNo=9,ExtraTaal1!C14,IF(LangNo=10,ExtraTaal2!C14,IF(LangNo=11,ExtraTaal3!C14,)))))))))))</f>
        <v>Heat output * 65/55/20 [W]</v>
      </c>
      <c r="E16" s="186" t="str">
        <f>IF(LangNo=1,NL!D14,IF(LangNo=2,EN!D14,IF(LangNo=3,DE!D14,IF(LangNo=4,FR!D14,IF(LangNo=5,NR!D14,IF(LangNo=6,SP!D14,IF(LangNo=7,SW!D14,IF(LangNo=8,TS!D14,IF(LangNo=9,ExtraTaal1!D14,IF(LangNo=10,ExtraTaal2!D14,IF(LangNo=11,ExtraTaal3!D14,)))))))))))</f>
        <v>Water flowrate, heating [l/h]</v>
      </c>
      <c r="F16" s="187" t="str">
        <f>IF(LangNo=1,NL!E14,IF(LangNo=2,EN!E14,IF(LangNo=3,DE!E14,IF(LangNo=4,FR!E14,IF(LangNo=5,NR!E14,IF(LangNo=6,SP!E14,IF(LangNo=7,SW!E14,IF(LangNo=8,TS!E14,IF(LangNo=9,ExtraTaal1!E14,IF(LangNo=10,ExtraTaal2!E14,IF(LangNo=11,ExtraTaal3!E14,)))))))))))</f>
        <v>Water side pressure loss [kPa]</v>
      </c>
      <c r="G16" s="188" t="str">
        <f>IF(LangNo=1,NL!F14,IF(LangNo=2,EN!F14,IF(LangNo=3,DE!F14,IF(LangNo=4,FR!F14,IF(LangNo=5,NR!F14,IF(LangNo=6,SP!F14,IF(LangNo=7,SW!F14,IF(LangNo=8,TS!F14,IF(LangNo=9,ExtraTaal1!F14,IF(LangNo=10,ExtraTaal2!F14,IF(LangNo=11,ExtraTaal3!F14,)))))))))))</f>
        <v>Sens. cooling capacity * 16/18/27 [W]</v>
      </c>
      <c r="H16" s="189" t="str">
        <f>IF(LangNo=1,NL!G14,IF(LangNo=2,EN!G14,IF(LangNo=3,DE!G14,IF(LangNo=4,FR!G14,IF(LangNo=5,NR!G14,IF(LangNo=6,SP!G14,IF(LangNo=7,SW!G14,IF(LangNo=8,TS!G14,IF(LangNo=9,ExtraTaal1!G14,IF(LangNo=10,ExtraTaal2!G14,IF(LangNo=11,ExtraTaal3!G14,)))))))))))</f>
        <v>Tot. cooling capacity 16/18/27 [W]</v>
      </c>
      <c r="I16" s="186" t="str">
        <f>IF(LangNo=1,NL!H14,IF(LangNo=2,EN!H14,IF(LangNo=3,DE!H14,IF(LangNo=4,FR!H14,IF(LangNo=5,NR!H14,IF(LangNo=6,SP!H14,IF(LangNo=7,SW!H14,IF(LangNo=8,TS!H14,IF(LangNo=9,ExtraTaal1!H14,IF(LangNo=10,ExtraTaal2!H14,IF(LangNo=11,ExtraTaal3!H14,)))))))))))</f>
        <v>Water flowrate, cooling [l/h]</v>
      </c>
      <c r="J16" s="187" t="str">
        <f>IF(LangNo=1,NL!I14,IF(LangNo=2,EN!I14,IF(LangNo=3,DE!I14,IF(LangNo=4,FR!I14,IF(LangNo=5,NR!I14,IF(LangNo=6,SP!I14,IF(LangNo=7,SW!I14,IF(LangNo=8,TS!I14,IF(LangNo=9,ExtraTaal1!I14,IF(LangNo=10,ExtraTaal2!I14,IF(LangNo=11,ExtraTaal3!I14,)))))))))))</f>
        <v>Water side pressure loss [kPa]</v>
      </c>
      <c r="K16" s="190" t="str">
        <f>IF(LangNo=1,NL!J14,IF(LangNo=2,EN!J14,IF(LangNo=3,DE!J14,IF(LangNo=4,FR!J14,IF(LangNo=5,NR!J14,IF(LangNo=6,SP!J14,IF(LangNo=7,SW!J14,IF(LangNo=8,TS!J14,IF(LangNo=9,ExtraTaal1!J14,IF(LangNo=10,ExtraTaal2!J14,IF(LangNo=11,ExtraTaal3!J14,)))))))))))</f>
        <v>Sound pressure *** [dB(A)]</v>
      </c>
      <c r="L16" s="191" t="str">
        <f>IF(LangNo=1,NL!K14,IF(LangNo=2,EN!K14,IF(LangNo=3,DE!K14,IF(LangNo=4,FR!K14,IF(LangNo=5,NR!K14,IF(LangNo=6,SP!K14,IF(LangNo=7,SW!K14,IF(LangNo=8,TS!K14,IF(LangNo=9,ExtraTaal1!K14,IF(LangNo=10,ExtraTaal2!K14,IF(LangNo=11,ExtraTaal3!K14,)))))))))))</f>
        <v>Sound power ** [dB(A)]</v>
      </c>
      <c r="M16" s="193" t="str">
        <f>IF(LangNo=1,NL!L14,IF(LangNo=2,EN!L14,IF(LangNo=3,DE!L14,IF(LangNo=4,FR!L14,IF(LangNo=5,NR!L14,IF(LangNo=6,SP!L14,IF(LangNo=7,SW!L14,IF(LangNo=8,TS!L14,IF(LangNo=9,ExtraTaal1!L14,IF(LangNo=10,ExtraTaal2!L14,IF(LangNo=11,ExtraTaal3!L14,)))))))))))</f>
        <v>Electrical power [W]</v>
      </c>
      <c r="N16" s="406" t="str">
        <f>IF(LangNo=1,NL!M14,IF(LangNo=2,EN!M14,IF(LangNo=3,DE!M14,IF(LangNo=4,FR!M14,IF(LangNo=5,NR!M14,IF(LangNo=6,SP!M14,IF(LangNo=7,SW!M14,IF(LangNo=8,TS!M14,IF(LangNo=9,ExtraTaal1!M14,IF(LangNo=10,ExtraTaal2!M14,IF(LangNo=11,ExtraTaal3!M14,)))))))))))</f>
        <v>Air flowrate [m³/h]</v>
      </c>
      <c r="O16" s="194" t="str">
        <f>IF(LangNo=1,NL!N14,IF(LangNo=2,EN!N14,IF(LangNo=3,DE!N14,IF(LangNo=4,FR!N14,IF(LangNo=5,NR!N14,IF(LangNo=6,SP!N14,IF(LangNo=7,SW!N14,IF(LangNo=8,TS!N14,IF(LangNo=9,ExtraTaal1!N14,IF(LangNo=10,ExtraTaal2!N14,IF(LangNo=11,ExtraTaal3!N14,)))))))))))</f>
        <v>Face velocity [m/s]</v>
      </c>
      <c r="P16" s="192" t="str">
        <f>IF(LangNo=1,NL!O14,IF(LangNo=2,EN!O14,IF(LangNo=3,DE!O14,IF(LangNo=4,FR!O14,IF(LangNo=5,NR!O14,IF(LangNo=6,SP!O14,IF(LangNo=7,SW!O14,IF(LangNo=8,TS!O14,IF(LangNo=9,ExtraTaal1!O14,IF(LangNo=10,ExtraTaal2!O14,IF(LangNo=11,ExtraTaal3!O14,)))))))))))</f>
        <v>Air exhaust temp. heating [°C]</v>
      </c>
      <c r="Q16" s="404" t="str">
        <f>IF(LangNo=1,NL!P14,IF(LangNo=2,EN!P14,IF(LangNo=3,DE!P14,IF(LangNo=4,FR!P14,IF(LangNo=5,NR!P14,IF(LangNo=6,SP!P14,IF(LangNo=7,SW!P14,IF(LangNo=8,TS!P14,IF(LangNo=9,ExtraTaal1!P14,IF(LangNo=10,ExtraTaal2!P14,IF(LangNo=11,ExtraTaal3!P14,)))))))))))</f>
        <v>Air exhaust temp. heating (wet bulb) [°C]</v>
      </c>
      <c r="R16" s="407" t="str">
        <f>IF(LangNo=1,NL!Q14,IF(LangNo=2,EN!Q14,IF(LangNo=3,DE!Q14,IF(LangNo=4,FR!Q14,IF(LangNo=5,NR!Q14,IF(LangNo=6,SP!Q14,IF(LangNo=7,SW!Q14,IF(LangNo=8,TS!Q14,IF(LangNo=9,ExtraTaal1!Q14,IF(LangNo=10,ExtraTaal2!Q14,IF(LangNo=11,ExtraTaal3!Q14,)))))))))))</f>
        <v>Air exhaust temp. cooling (dry bulb) [°C]</v>
      </c>
      <c r="S16" s="408" t="str">
        <f>IF(LangNo=1,NL!R14,IF(LangNo=2,EN!R14,IF(LangNo=3,DE!R14,IF(LangNo=4,FR!R14,IF(LangNo=5,NR!R14,IF(LangNo=6,SP!R14,IF(LangNo=7,SW!R14,IF(LangNo=8,TS!R14,IF(LangNo=9,ExtraTaal1!R14,IF(LangNo=10,ExtraTaal2!R14,IF(LangNo=11,ExtraTaal3!R14,)))))))))))</f>
        <v>Air exhaust temp. cooling (wet bulb) [°C]</v>
      </c>
      <c r="T16" s="327" t="str">
        <f>IF(LangNo=1,NL!S14,IF(LangNo=2,EN!S14,IF(LangNo=3,DE!S14,IF(LangNo=4,FR!S14,IF(LangNo=5,NR!S14,IF(LangNo=6,SP!S14,IF(LangNo=7,SW!S14,IF(LangNo=8,TS!S14,IF(LangNo=9,ExtraTaal1!S14,IF(LangNo=10,ExtraTaal2!S14,IF(LangNo=11,ExtraTaal3!S14,)))))))))))&amp;" ****"</f>
        <v>Rel. humid. cooled air [%] ****</v>
      </c>
      <c r="U16" s="403" t="str">
        <f>IF(LangNo=1,NL!T14,IF(LangNo=2,EN!T14,IF(LangNo=3,DE!T14,IF(LangNo=4,FR!T14,IF(LangNo=5,NR!T14,IF(LangNo=6,SP!T14,IF(LangNo=7,SW!T14,IF(LangNo=8,TS!T14,IF(LangNo=9,ExtraTaal1!T14,IF(LangNo=10,ExtraTaal2!T14,IF(LangNo=11,ExtraTaal3!T14,)))))))))))</f>
        <v>fan rotation frequency [revolutions/minute]</v>
      </c>
      <c r="V16" s="482" t="str">
        <f>IF(LangNo=1,NL!U14,IF(LangNo=2,EN!U14,IF(LangNo=3,DE!U14,IF(LangNo=4,FR!U14,IF(LangNo=5,NR!U14,IF(LangNo=6,SP!U14,IF(LangNo=7,SW!U14,IF(LangNo=8,TS!U14,IF(LangNo=9,ExtraTaal1!U14,IF(LangNo=10,ExtraTaal2!U14,IF(LangNo=11,ExtraTaal3!U14,)))))))))))&amp;" [J/l]"</f>
        <v>Specific fan power [J/l]</v>
      </c>
      <c r="W16" s="265">
        <v>0.05</v>
      </c>
      <c r="X16" s="92" t="s">
        <v>67</v>
      </c>
      <c r="Y16" s="92" t="s">
        <v>66</v>
      </c>
      <c r="Z16" s="92" t="s">
        <v>68</v>
      </c>
      <c r="AA16" s="92" t="s">
        <v>69</v>
      </c>
      <c r="AB16" s="92" t="s">
        <v>71</v>
      </c>
      <c r="AC16" s="93" t="s">
        <v>67</v>
      </c>
      <c r="AD16" s="93" t="s">
        <v>66</v>
      </c>
      <c r="AE16" s="93" t="s">
        <v>68</v>
      </c>
      <c r="AF16" s="93" t="s">
        <v>71</v>
      </c>
      <c r="AG16" s="93" t="s">
        <v>67</v>
      </c>
      <c r="AH16" s="93" t="s">
        <v>66</v>
      </c>
      <c r="AI16" s="93" t="s">
        <v>68</v>
      </c>
      <c r="AJ16" s="93" t="s">
        <v>71</v>
      </c>
      <c r="AK16" s="93" t="s">
        <v>67</v>
      </c>
      <c r="AL16" s="93" t="s">
        <v>66</v>
      </c>
      <c r="AM16" s="93" t="s">
        <v>68</v>
      </c>
      <c r="AN16" s="93" t="s">
        <v>71</v>
      </c>
      <c r="AO16" s="93" t="s">
        <v>67</v>
      </c>
      <c r="AP16" s="93" t="s">
        <v>66</v>
      </c>
      <c r="AQ16" s="93" t="s">
        <v>68</v>
      </c>
      <c r="AR16" s="93" t="s">
        <v>71</v>
      </c>
      <c r="AS16" s="93" t="s">
        <v>67</v>
      </c>
      <c r="AT16" s="93" t="s">
        <v>66</v>
      </c>
      <c r="AU16" s="93" t="s">
        <v>68</v>
      </c>
      <c r="AV16" s="93" t="s">
        <v>71</v>
      </c>
      <c r="AW16" s="93" t="s">
        <v>67</v>
      </c>
      <c r="AX16" s="93" t="s">
        <v>66</v>
      </c>
      <c r="AY16" s="93" t="s">
        <v>68</v>
      </c>
      <c r="AZ16" s="93" t="s">
        <v>71</v>
      </c>
      <c r="BA16" s="93" t="s">
        <v>67</v>
      </c>
      <c r="BB16" s="93" t="s">
        <v>66</v>
      </c>
      <c r="BC16" s="93" t="s">
        <v>68</v>
      </c>
      <c r="BD16" s="93" t="s">
        <v>71</v>
      </c>
      <c r="BE16" s="93" t="s">
        <v>67</v>
      </c>
      <c r="BF16" s="93" t="s">
        <v>66</v>
      </c>
      <c r="BG16" s="93" t="s">
        <v>68</v>
      </c>
      <c r="BH16" s="93" t="s">
        <v>71</v>
      </c>
      <c r="BK16" s="89" t="s">
        <v>53</v>
      </c>
      <c r="BL16" s="90" t="s">
        <v>54</v>
      </c>
      <c r="BM16" s="91" t="s">
        <v>73</v>
      </c>
      <c r="BN16" s="98" t="s">
        <v>53</v>
      </c>
      <c r="BO16" s="99" t="s">
        <v>54</v>
      </c>
      <c r="BP16" s="100" t="s">
        <v>72</v>
      </c>
      <c r="BQ16" s="98" t="s">
        <v>53</v>
      </c>
      <c r="BR16" s="101" t="s">
        <v>54</v>
      </c>
      <c r="BS16" s="102" t="s">
        <v>73</v>
      </c>
      <c r="BT16" s="98" t="s">
        <v>53</v>
      </c>
      <c r="BU16" s="99" t="s">
        <v>54</v>
      </c>
      <c r="BV16" s="100" t="s">
        <v>72</v>
      </c>
      <c r="BW16" s="98" t="s">
        <v>53</v>
      </c>
      <c r="BX16" s="101" t="s">
        <v>54</v>
      </c>
      <c r="BY16" s="102" t="s">
        <v>73</v>
      </c>
      <c r="BZ16" s="675" t="s">
        <v>43</v>
      </c>
      <c r="CA16" s="676"/>
      <c r="CB16" s="676"/>
      <c r="CC16" s="676"/>
      <c r="CD16" s="676"/>
      <c r="CE16" s="677"/>
      <c r="CF16" s="603" t="s">
        <v>60</v>
      </c>
      <c r="CG16" s="604"/>
      <c r="CH16" s="604"/>
      <c r="CI16" s="604"/>
      <c r="CJ16" s="604"/>
      <c r="CK16" s="626" t="s">
        <v>306</v>
      </c>
      <c r="CL16" s="627"/>
      <c r="CM16" s="628"/>
      <c r="CN16" s="674" t="s">
        <v>43</v>
      </c>
      <c r="CO16" s="598" t="s">
        <v>43</v>
      </c>
      <c r="CP16" s="598"/>
      <c r="CQ16" s="598"/>
      <c r="CR16" s="598"/>
      <c r="CS16" s="611"/>
      <c r="CT16" s="671" t="s">
        <v>60</v>
      </c>
      <c r="CU16" s="672"/>
      <c r="CV16" s="672"/>
      <c r="CW16" s="672"/>
      <c r="CX16" s="673"/>
      <c r="CY16" s="598" t="s">
        <v>306</v>
      </c>
      <c r="CZ16" s="598"/>
      <c r="DA16" s="599"/>
      <c r="DB16" s="610" t="s">
        <v>43</v>
      </c>
      <c r="DC16" s="598" t="s">
        <v>43</v>
      </c>
      <c r="DD16" s="598"/>
      <c r="DE16" s="598"/>
      <c r="DF16" s="598"/>
      <c r="DG16" s="611"/>
      <c r="DH16" s="674" t="s">
        <v>60</v>
      </c>
      <c r="DI16" s="598"/>
      <c r="DJ16" s="598"/>
      <c r="DK16" s="598"/>
      <c r="DL16" s="611"/>
      <c r="DM16" s="674" t="s">
        <v>306</v>
      </c>
      <c r="DN16" s="598"/>
      <c r="DO16" s="599"/>
      <c r="DP16" s="664" t="s">
        <v>43</v>
      </c>
      <c r="DQ16" s="665" t="s">
        <v>43</v>
      </c>
      <c r="DR16" s="665"/>
      <c r="DS16" s="665"/>
      <c r="DT16" s="665"/>
      <c r="DU16" s="666"/>
      <c r="DV16" s="668" t="s">
        <v>60</v>
      </c>
      <c r="DW16" s="669"/>
      <c r="DX16" s="669"/>
      <c r="DY16" s="669"/>
      <c r="DZ16" s="670"/>
      <c r="EA16" s="598" t="s">
        <v>306</v>
      </c>
      <c r="EB16" s="598"/>
      <c r="EC16" s="599"/>
      <c r="ED16" s="665" t="s">
        <v>43</v>
      </c>
      <c r="EE16" s="665"/>
      <c r="EF16" s="665"/>
      <c r="EG16" s="665"/>
      <c r="EH16" s="665"/>
      <c r="EI16" s="666"/>
      <c r="EJ16" s="667" t="s">
        <v>60</v>
      </c>
      <c r="EK16" s="665"/>
      <c r="EL16" s="665"/>
      <c r="EM16" s="665"/>
      <c r="EN16" s="666"/>
      <c r="EO16" s="598" t="s">
        <v>306</v>
      </c>
      <c r="EP16" s="598"/>
      <c r="EQ16" s="598"/>
      <c r="ER16" s="140" t="s">
        <v>83</v>
      </c>
      <c r="ES16" s="140" t="s">
        <v>83</v>
      </c>
      <c r="ET16" s="140" t="s">
        <v>83</v>
      </c>
      <c r="EU16" s="140" t="s">
        <v>83</v>
      </c>
      <c r="EV16" s="140" t="s">
        <v>83</v>
      </c>
      <c r="EW16" s="140" t="s">
        <v>83</v>
      </c>
      <c r="EX16" s="140" t="s">
        <v>83</v>
      </c>
      <c r="EY16" s="140" t="s">
        <v>83</v>
      </c>
      <c r="EZ16" s="140" t="s">
        <v>85</v>
      </c>
      <c r="FA16" s="142" t="s">
        <v>85</v>
      </c>
      <c r="FB16" s="142" t="s">
        <v>85</v>
      </c>
      <c r="FC16" s="142" t="s">
        <v>85</v>
      </c>
      <c r="FD16" s="142" t="s">
        <v>85</v>
      </c>
      <c r="FE16" s="142" t="s">
        <v>85</v>
      </c>
      <c r="FF16" s="142" t="s">
        <v>85</v>
      </c>
      <c r="FG16" s="142" t="s">
        <v>85</v>
      </c>
      <c r="FH16" s="142" t="s">
        <v>85</v>
      </c>
      <c r="FI16" s="602"/>
      <c r="FJ16" s="232" t="s">
        <v>295</v>
      </c>
      <c r="FK16" s="232" t="s">
        <v>130</v>
      </c>
      <c r="FL16" s="233" t="s">
        <v>131</v>
      </c>
      <c r="FM16" s="229" t="s">
        <v>144</v>
      </c>
      <c r="FN16" s="228" t="s">
        <v>294</v>
      </c>
      <c r="FO16" s="228" t="s">
        <v>146</v>
      </c>
      <c r="FP16" s="228" t="s">
        <v>145</v>
      </c>
      <c r="FQ16" s="236" t="s">
        <v>149</v>
      </c>
      <c r="FR16" s="232" t="s">
        <v>147</v>
      </c>
      <c r="FS16" s="233" t="s">
        <v>148</v>
      </c>
      <c r="FT16" s="245" t="s">
        <v>150</v>
      </c>
      <c r="FU16" s="236" t="s">
        <v>151</v>
      </c>
      <c r="FV16" s="236" t="s">
        <v>153</v>
      </c>
      <c r="FW16" s="228" t="s">
        <v>154</v>
      </c>
      <c r="FX16" s="236" t="s">
        <v>155</v>
      </c>
      <c r="FY16" s="228" t="s">
        <v>156</v>
      </c>
      <c r="FZ16" s="228" t="s">
        <v>152</v>
      </c>
      <c r="GA16" s="228" t="s">
        <v>157</v>
      </c>
      <c r="GB16" s="678"/>
      <c r="GC16" s="531" t="s">
        <v>139</v>
      </c>
      <c r="GD16" s="678"/>
      <c r="GE16" s="531" t="s">
        <v>175</v>
      </c>
      <c r="GF16" s="678"/>
      <c r="GG16" s="531" t="s">
        <v>271</v>
      </c>
      <c r="GH16" s="531" t="s">
        <v>273</v>
      </c>
      <c r="GI16" s="531" t="s">
        <v>270</v>
      </c>
      <c r="GJ16" s="531" t="s">
        <v>272</v>
      </c>
      <c r="GK16" s="531" t="s">
        <v>266</v>
      </c>
      <c r="GL16" s="531" t="s">
        <v>267</v>
      </c>
      <c r="GM16" s="531" t="s">
        <v>268</v>
      </c>
      <c r="GN16" s="531" t="s">
        <v>269</v>
      </c>
      <c r="GO16" s="531" t="s">
        <v>274</v>
      </c>
      <c r="GP16" s="678"/>
      <c r="GQ16" s="531" t="s">
        <v>275</v>
      </c>
      <c r="GR16" s="531" t="s">
        <v>276</v>
      </c>
      <c r="GS16" s="531" t="s">
        <v>277</v>
      </c>
      <c r="GT16" s="531" t="s">
        <v>278</v>
      </c>
      <c r="GU16" s="531" t="s">
        <v>286</v>
      </c>
      <c r="GV16" s="531" t="s">
        <v>279</v>
      </c>
      <c r="GW16" s="531" t="s">
        <v>280</v>
      </c>
      <c r="GX16" s="531" t="s">
        <v>285</v>
      </c>
      <c r="GY16" s="531" t="s">
        <v>281</v>
      </c>
      <c r="GZ16" s="531" t="s">
        <v>282</v>
      </c>
      <c r="HA16" s="531" t="s">
        <v>284</v>
      </c>
      <c r="HB16" s="531" t="s">
        <v>283</v>
      </c>
      <c r="HC16" s="531" t="s">
        <v>283</v>
      </c>
      <c r="HD16" s="531" t="s">
        <v>522</v>
      </c>
      <c r="HE16" s="531" t="s">
        <v>515</v>
      </c>
      <c r="HF16" s="531" t="s">
        <v>516</v>
      </c>
      <c r="HG16" s="522" t="s">
        <v>85</v>
      </c>
      <c r="HH16" s="522" t="s">
        <v>85</v>
      </c>
      <c r="HI16" s="531" t="s">
        <v>519</v>
      </c>
      <c r="HJ16" s="531" t="s">
        <v>520</v>
      </c>
      <c r="HK16" s="531" t="s">
        <v>521</v>
      </c>
      <c r="HL16" s="232" t="s">
        <v>295</v>
      </c>
      <c r="HM16" s="232" t="s">
        <v>130</v>
      </c>
      <c r="HN16" s="233" t="s">
        <v>131</v>
      </c>
      <c r="HO16" s="229" t="s">
        <v>144</v>
      </c>
      <c r="HP16" s="228" t="s">
        <v>294</v>
      </c>
      <c r="HQ16" s="228" t="s">
        <v>146</v>
      </c>
      <c r="HR16" s="228" t="s">
        <v>145</v>
      </c>
      <c r="HS16" s="236" t="s">
        <v>149</v>
      </c>
      <c r="HT16" s="232" t="s">
        <v>147</v>
      </c>
      <c r="HU16" s="233" t="s">
        <v>148</v>
      </c>
      <c r="HV16" s="245" t="s">
        <v>150</v>
      </c>
      <c r="HW16" s="236" t="s">
        <v>151</v>
      </c>
      <c r="HX16" s="236" t="s">
        <v>153</v>
      </c>
      <c r="HY16" s="228" t="s">
        <v>154</v>
      </c>
      <c r="HZ16" s="236" t="s">
        <v>155</v>
      </c>
      <c r="IA16" s="228" t="s">
        <v>156</v>
      </c>
      <c r="IB16" s="228" t="s">
        <v>152</v>
      </c>
      <c r="IC16" s="228" t="s">
        <v>157</v>
      </c>
    </row>
    <row r="17" spans="2:244" ht="18" customHeight="1" x14ac:dyDescent="0.25">
      <c r="B17" s="615" t="str">
        <f>IF(LangNo=1,NL!A15,IF(LangNo=2,EN!A15,IF(LangNo=3,DE!A15,IF(LangNo=4,FR!A15,IF(LangNo=5,NR!A15,IF(LangNo=6,SP!A15,IF(LangNo=7,SW!A15,IF(LangNo=8,TS!A15,IF(LangNo=9,ExtraTaal1!A15,IF(LangNo=10,ExtraTaal2!A15,IF(LangNo=11,ExtraTaal3!A15,)))))))))))</f>
        <v>Briza 22 (230V) height 54,5 cm, width 22 cm, length 55 cm (Type 02)</v>
      </c>
      <c r="C17" s="616">
        <f>IF(LangNo=1,NL!B15,IF(LangNo=2,EN!B15,IF(LangNo=3,DE!B15,IF(LangNo=4,FR!B15,IF(LangNo=5,NR!B15,IF(LangNo=6,SP!B15,IF(LangNo=7,SW!B15,IF(LangNo=8,TS!B15,IF(LangNo=9,ExtraTaal1!B15,IF(LangNo=10,ExtraTaal2!B15,IF(LangNo=11,ExtraTaal3!B15,)))))))))))</f>
        <v>0</v>
      </c>
      <c r="D17" s="616">
        <f>IF(LangNo=1,NL!C15,IF(LangNo=2,EN!C15,IF(LangNo=3,DE!C15,IF(LangNo=4,FR!C15,IF(LangNo=5,NR!C15,IF(LangNo=6,SP!C15,IF(LangNo=7,SW!C15,IF(LangNo=8,TS!C15,IF(LangNo=9,ExtraTaal1!C15,IF(LangNo=10,ExtraTaal2!C15,IF(LangNo=11,ExtraTaal3!C15,)))))))))))</f>
        <v>0</v>
      </c>
      <c r="E17" s="616">
        <f>IF(LangNo=1,NL!D15,IF(LangNo=2,EN!D15,IF(LangNo=3,DE!D15,IF(LangNo=4,FR!D15,IF(LangNo=5,NR!D15,IF(LangNo=6,SP!D15,IF(LangNo=7,SW!D15,IF(LangNo=8,TS!D15,IF(LangNo=9,ExtraTaal1!D15,IF(LangNo=10,ExtraTaal2!D15,IF(LangNo=11,ExtraTaal3!D15,)))))))))))</f>
        <v>0</v>
      </c>
      <c r="F17" s="616">
        <f>IF(LangNo=1,NL!E15,IF(LangNo=2,EN!E15,IF(LangNo=3,DE!E15,IF(LangNo=4,FR!E15,IF(LangNo=5,NR!E15,IF(LangNo=6,SP!E15,IF(LangNo=7,SW!E15,IF(LangNo=8,TS!E15,IF(LangNo=9,ExtraTaal1!E15,IF(LangNo=10,ExtraTaal2!E15,IF(LangNo=11,ExtraTaal3!E15,)))))))))))</f>
        <v>0</v>
      </c>
      <c r="G17" s="616">
        <f>IF(LangNo=1,NL!F15,IF(LangNo=2,EN!F15,IF(LangNo=3,DE!F15,IF(LangNo=4,FR!F15,IF(LangNo=5,NR!F15,IF(LangNo=6,SP!F15,IF(LangNo=7,SW!F15,IF(LangNo=8,TS!F15,IF(LangNo=9,ExtraTaal1!F15,IF(LangNo=10,ExtraTaal2!F15,IF(LangNo=11,ExtraTaal3!F15,)))))))))))</f>
        <v>0</v>
      </c>
      <c r="H17" s="616">
        <f>IF(LangNo=1,NL!G15,IF(LangNo=2,EN!G15,IF(LangNo=3,DE!G15,IF(LangNo=4,FR!G15,IF(LangNo=5,NR!G15,IF(LangNo=6,SP!G15,IF(LangNo=7,SW!G15,IF(LangNo=8,TS!G15,IF(LangNo=9,ExtraTaal1!G15,IF(LangNo=10,ExtraTaal2!G15,IF(LangNo=11,ExtraTaal3!G15,)))))))))))</f>
        <v>0</v>
      </c>
      <c r="I17" s="616">
        <f>IF(LangNo=1,NL!H15,IF(LangNo=2,EN!H15,IF(LangNo=3,DE!H15,IF(LangNo=4,FR!H15,IF(LangNo=5,NR!H15,IF(LangNo=6,SP!H15,IF(LangNo=7,SW!H15,IF(LangNo=8,TS!H15,IF(LangNo=9,ExtraTaal1!H15,IF(LangNo=10,ExtraTaal2!H15,IF(LangNo=11,ExtraTaal3!H15,)))))))))))</f>
        <v>0</v>
      </c>
      <c r="J17" s="616">
        <f>IF(LangNo=1,NL!I15,IF(LangNo=2,EN!I15,IF(LangNo=3,DE!I15,IF(LangNo=4,FR!I15,IF(LangNo=5,NR!I15,IF(LangNo=6,SP!I15,IF(LangNo=7,SW!I15,IF(LangNo=8,TS!I15,IF(LangNo=9,ExtraTaal1!I15,IF(LangNo=10,ExtraTaal2!I15,IF(LangNo=11,ExtraTaal3!I15,)))))))))))</f>
        <v>0</v>
      </c>
      <c r="K17" s="616">
        <f>IF(LangNo=1,NL!J15,IF(LangNo=2,EN!J15,IF(LangNo=3,DE!J15,IF(LangNo=4,FR!J15,IF(LangNo=5,NR!J15,IF(LangNo=6,SP!J15,IF(LangNo=7,SW!J15,IF(LangNo=8,TS!J15,IF(LangNo=9,ExtraTaal1!J15,IF(LangNo=10,ExtraTaal2!J15,IF(LangNo=11,ExtraTaal3!J15,)))))))))))</f>
        <v>0</v>
      </c>
      <c r="L17" s="616">
        <f>IF(LangNo=1,NL!K15,IF(LangNo=2,EN!K15,IF(LangNo=3,DE!K15,IF(LangNo=4,FR!K15,IF(LangNo=5,NR!K15,IF(LangNo=6,SP!K15,IF(LangNo=7,SW!K15,IF(LangNo=8,TS!K15,IF(LangNo=9,ExtraTaal1!K15,IF(LangNo=10,ExtraTaal2!K15,IF(LangNo=11,ExtraTaal3!K15,)))))))))))</f>
        <v>0</v>
      </c>
      <c r="M17" s="616">
        <f>IF(LangNo=1,NL!L15,IF(LangNo=2,EN!L15,IF(LangNo=3,DE!L15,IF(LangNo=4,FR!L15,IF(LangNo=5,NR!L15,IF(LangNo=6,SP!L15,IF(LangNo=7,SW!L15,IF(LangNo=8,TS!L15,IF(LangNo=9,ExtraTaal1!L15,IF(LangNo=10,ExtraTaal2!L15,IF(LangNo=11,ExtraTaal3!L15,)))))))))))</f>
        <v>0</v>
      </c>
      <c r="N17" s="659"/>
      <c r="O17" s="659"/>
      <c r="P17" s="659"/>
      <c r="Q17" s="659"/>
      <c r="R17" s="659"/>
      <c r="S17" s="659"/>
      <c r="T17" s="659"/>
      <c r="U17" s="659"/>
      <c r="V17" s="660"/>
      <c r="W17" s="512" t="s">
        <v>364</v>
      </c>
      <c r="X17" s="56"/>
      <c r="Y17" s="56"/>
      <c r="Z17" s="56"/>
      <c r="AA17" s="56">
        <f>IF($BK$17="11",X17,IF($BK$17="21",Z17,IF($BK$17="12",X17,IF($BK$17="22",Z17,IF($BK$17="13",X17,IF($BK$17="23",Z17,IF($BK$17="14",X17,IF($BK$17="24",Z17,IF($BK$17="31",X17,IF($BK$17="41",Z17,IF($BK$17="32",X17,IF($BK$17="42",Z17,IF($BK$17="33",X17,IF($BK$17="43",Z17,IF($BK$17="34",X17,IF($BK$17="44",Z17,))))))))))))))))</f>
        <v>0</v>
      </c>
      <c r="AB17" s="56" t="str">
        <f>IF($BK$17="11",AF17,IF($BK$17="21",AF17,IF($BK$17="12",AN17,IF($BK$17="22",AN17,IF($BK$17="13",AR17,IF($BK$17="23",AR17,IF($BK$17="14",AJ17,IF($BK$17="24",AJ17,IF($BK$17="31",AV17,IF($BK$17="41",AV17,IF($BK$17="32",BD17,IF($BK$17="42",BD17,IF($BK$17="33",BH17,IF($BK$17="43",BH17,IF($BK$17="34",AZ17,IF($BK$17="44",AZ17,))))))))))))))))</f>
        <v>m³/h</v>
      </c>
      <c r="AC17" s="94" t="s">
        <v>9</v>
      </c>
      <c r="AD17" s="94" t="s">
        <v>9</v>
      </c>
      <c r="AE17" s="94" t="s">
        <v>9</v>
      </c>
      <c r="AF17" s="94" t="s">
        <v>70</v>
      </c>
      <c r="AG17" s="94" t="s">
        <v>9</v>
      </c>
      <c r="AH17" s="94" t="s">
        <v>9</v>
      </c>
      <c r="AI17" s="94" t="s">
        <v>9</v>
      </c>
      <c r="AJ17" s="485" t="s">
        <v>70</v>
      </c>
      <c r="AK17" s="485" t="s">
        <v>9</v>
      </c>
      <c r="AL17" s="485" t="s">
        <v>9</v>
      </c>
      <c r="AM17" s="485" t="s">
        <v>9</v>
      </c>
      <c r="AN17" s="485" t="s">
        <v>70</v>
      </c>
      <c r="AO17" s="485" t="s">
        <v>9</v>
      </c>
      <c r="AP17" s="485" t="s">
        <v>9</v>
      </c>
      <c r="AQ17" s="485" t="s">
        <v>9</v>
      </c>
      <c r="AR17" s="485" t="s">
        <v>70</v>
      </c>
      <c r="AS17" s="485" t="s">
        <v>9</v>
      </c>
      <c r="AT17" s="485" t="s">
        <v>9</v>
      </c>
      <c r="AU17" s="485" t="s">
        <v>9</v>
      </c>
      <c r="AV17" s="485" t="s">
        <v>70</v>
      </c>
      <c r="AW17" s="485" t="s">
        <v>9</v>
      </c>
      <c r="AX17" s="485" t="s">
        <v>9</v>
      </c>
      <c r="AY17" s="485" t="s">
        <v>9</v>
      </c>
      <c r="AZ17" s="485" t="s">
        <v>70</v>
      </c>
      <c r="BA17" s="94" t="s">
        <v>9</v>
      </c>
      <c r="BB17" s="94" t="s">
        <v>9</v>
      </c>
      <c r="BC17" s="94" t="s">
        <v>9</v>
      </c>
      <c r="BD17" s="94" t="s">
        <v>70</v>
      </c>
      <c r="BE17" s="94" t="s">
        <v>9</v>
      </c>
      <c r="BF17" s="94" t="s">
        <v>9</v>
      </c>
      <c r="BG17" s="94" t="s">
        <v>9</v>
      </c>
      <c r="BH17" s="94" t="s">
        <v>70</v>
      </c>
      <c r="BK17" s="638" t="str">
        <f>CONCATENATE(AK5,AL5)</f>
        <v>12</v>
      </c>
      <c r="BL17" s="639"/>
      <c r="BM17" s="640"/>
      <c r="BN17" s="617" t="s">
        <v>41</v>
      </c>
      <c r="BO17" s="618"/>
      <c r="BP17" s="619"/>
      <c r="BQ17" s="617" t="s">
        <v>40</v>
      </c>
      <c r="BR17" s="618"/>
      <c r="BS17" s="619"/>
      <c r="BT17" s="617" t="s">
        <v>89</v>
      </c>
      <c r="BU17" s="618"/>
      <c r="BV17" s="619"/>
      <c r="BW17" s="617" t="s">
        <v>90</v>
      </c>
      <c r="BX17" s="618"/>
      <c r="BY17" s="619"/>
      <c r="BZ17" s="75" t="s">
        <v>82</v>
      </c>
      <c r="CA17" s="76" t="s">
        <v>44</v>
      </c>
      <c r="CB17" s="76" t="s">
        <v>45</v>
      </c>
      <c r="CC17" s="76" t="s">
        <v>46</v>
      </c>
      <c r="CD17" s="76" t="s">
        <v>47</v>
      </c>
      <c r="CE17" s="77" t="s">
        <v>48</v>
      </c>
      <c r="CF17" s="75" t="s">
        <v>61</v>
      </c>
      <c r="CG17" s="76" t="s">
        <v>62</v>
      </c>
      <c r="CH17" s="76" t="s">
        <v>63</v>
      </c>
      <c r="CI17" s="76" t="s">
        <v>64</v>
      </c>
      <c r="CJ17" s="76" t="s">
        <v>65</v>
      </c>
      <c r="CK17" s="75" t="s">
        <v>303</v>
      </c>
      <c r="CL17" s="76" t="s">
        <v>304</v>
      </c>
      <c r="CM17" s="77" t="s">
        <v>305</v>
      </c>
      <c r="CN17" s="107" t="s">
        <v>82</v>
      </c>
      <c r="CO17" s="108" t="s">
        <v>44</v>
      </c>
      <c r="CP17" s="108" t="s">
        <v>45</v>
      </c>
      <c r="CQ17" s="108" t="s">
        <v>46</v>
      </c>
      <c r="CR17" s="108" t="s">
        <v>47</v>
      </c>
      <c r="CS17" s="109" t="s">
        <v>48</v>
      </c>
      <c r="CT17" s="107" t="s">
        <v>61</v>
      </c>
      <c r="CU17" s="108" t="s">
        <v>62</v>
      </c>
      <c r="CV17" s="108" t="s">
        <v>63</v>
      </c>
      <c r="CW17" s="108" t="s">
        <v>64</v>
      </c>
      <c r="CX17" s="109" t="s">
        <v>65</v>
      </c>
      <c r="CY17" s="412" t="s">
        <v>303</v>
      </c>
      <c r="CZ17" s="412" t="s">
        <v>304</v>
      </c>
      <c r="DA17" s="419" t="s">
        <v>305</v>
      </c>
      <c r="DB17" s="107" t="s">
        <v>82</v>
      </c>
      <c r="DC17" s="108" t="s">
        <v>44</v>
      </c>
      <c r="DD17" s="108" t="s">
        <v>45</v>
      </c>
      <c r="DE17" s="108" t="s">
        <v>46</v>
      </c>
      <c r="DF17" s="108" t="s">
        <v>47</v>
      </c>
      <c r="DG17" s="109" t="s">
        <v>48</v>
      </c>
      <c r="DH17" s="107" t="s">
        <v>61</v>
      </c>
      <c r="DI17" s="108" t="s">
        <v>62</v>
      </c>
      <c r="DJ17" s="108" t="s">
        <v>63</v>
      </c>
      <c r="DK17" s="108" t="s">
        <v>64</v>
      </c>
      <c r="DL17" s="109" t="s">
        <v>65</v>
      </c>
      <c r="DM17" s="412" t="s">
        <v>303</v>
      </c>
      <c r="DN17" s="412" t="s">
        <v>304</v>
      </c>
      <c r="DO17" s="419" t="s">
        <v>305</v>
      </c>
      <c r="DP17" s="418" t="s">
        <v>82</v>
      </c>
      <c r="DQ17" s="108" t="s">
        <v>44</v>
      </c>
      <c r="DR17" s="108" t="s">
        <v>45</v>
      </c>
      <c r="DS17" s="108" t="s">
        <v>46</v>
      </c>
      <c r="DT17" s="108" t="s">
        <v>47</v>
      </c>
      <c r="DU17" s="109" t="s">
        <v>48</v>
      </c>
      <c r="DV17" s="107" t="s">
        <v>61</v>
      </c>
      <c r="DW17" s="108" t="s">
        <v>62</v>
      </c>
      <c r="DX17" s="108" t="s">
        <v>63</v>
      </c>
      <c r="DY17" s="108" t="s">
        <v>64</v>
      </c>
      <c r="DZ17" s="109" t="s">
        <v>65</v>
      </c>
      <c r="EA17" s="412" t="s">
        <v>303</v>
      </c>
      <c r="EB17" s="412" t="s">
        <v>304</v>
      </c>
      <c r="EC17" s="419" t="s">
        <v>305</v>
      </c>
      <c r="ED17" s="108" t="s">
        <v>82</v>
      </c>
      <c r="EE17" s="108" t="s">
        <v>44</v>
      </c>
      <c r="EF17" s="108" t="s">
        <v>45</v>
      </c>
      <c r="EG17" s="108" t="s">
        <v>46</v>
      </c>
      <c r="EH17" s="108" t="s">
        <v>47</v>
      </c>
      <c r="EI17" s="109" t="s">
        <v>48</v>
      </c>
      <c r="EJ17" s="107" t="s">
        <v>61</v>
      </c>
      <c r="EK17" s="108" t="s">
        <v>62</v>
      </c>
      <c r="EL17" s="108" t="s">
        <v>63</v>
      </c>
      <c r="EM17" s="108" t="s">
        <v>64</v>
      </c>
      <c r="EN17" s="109" t="s">
        <v>65</v>
      </c>
      <c r="EO17" s="412" t="s">
        <v>303</v>
      </c>
      <c r="EP17" s="412" t="s">
        <v>304</v>
      </c>
      <c r="EQ17" s="412" t="s">
        <v>305</v>
      </c>
      <c r="ER17" s="624" t="s">
        <v>84</v>
      </c>
      <c r="ES17" s="606"/>
      <c r="ET17" s="606"/>
      <c r="EU17" s="606"/>
      <c r="EV17" s="606"/>
      <c r="EW17" s="606"/>
      <c r="EX17" s="606"/>
      <c r="EY17" s="606"/>
      <c r="EZ17" s="625"/>
      <c r="FA17" s="601" t="str">
        <f>+ER17</f>
        <v>T02</v>
      </c>
      <c r="FB17" s="596"/>
      <c r="FC17" s="596"/>
      <c r="FD17" s="600"/>
      <c r="FE17" s="171"/>
      <c r="FF17" s="171"/>
      <c r="FG17" s="596"/>
      <c r="FH17" s="600"/>
      <c r="FI17" s="602"/>
      <c r="FJ17" s="234"/>
      <c r="FK17" s="234"/>
      <c r="FL17" s="235"/>
      <c r="FM17" s="218"/>
      <c r="FN17" s="343"/>
      <c r="FO17" s="161"/>
      <c r="FP17" s="161"/>
      <c r="FQ17" s="219"/>
      <c r="FR17" s="234"/>
      <c r="FS17" s="235"/>
      <c r="FT17" s="246"/>
      <c r="FU17" s="224"/>
      <c r="FV17" s="250"/>
      <c r="FW17" s="161"/>
      <c r="FX17" s="161"/>
      <c r="FY17" s="161"/>
      <c r="FZ17" s="161"/>
      <c r="GA17" s="161"/>
      <c r="GB17" s="678"/>
      <c r="GC17" s="533"/>
      <c r="GD17" s="678"/>
      <c r="GE17" s="533"/>
      <c r="GF17" s="678"/>
      <c r="GG17" s="533"/>
      <c r="GH17" s="533"/>
      <c r="GI17" s="533"/>
      <c r="GJ17" s="533"/>
      <c r="GK17" s="533"/>
      <c r="GL17" s="533"/>
      <c r="GM17" s="533"/>
      <c r="GN17" s="533"/>
      <c r="GO17" s="533"/>
      <c r="GP17" s="678"/>
      <c r="GQ17" s="533"/>
      <c r="GR17" s="533"/>
      <c r="GS17" s="533"/>
      <c r="GT17" s="533"/>
      <c r="GU17" s="533"/>
      <c r="GV17" s="533"/>
      <c r="GW17" s="533"/>
      <c r="GX17" s="533"/>
      <c r="GY17" s="533"/>
      <c r="GZ17" s="533"/>
      <c r="HA17" s="533"/>
      <c r="HB17" s="533"/>
      <c r="HC17" s="533"/>
      <c r="HD17" s="533"/>
      <c r="HE17" s="533"/>
      <c r="HF17" s="533"/>
      <c r="HG17" s="523" t="s">
        <v>518</v>
      </c>
      <c r="HH17" s="524" t="s">
        <v>517</v>
      </c>
      <c r="HI17" s="533"/>
      <c r="HJ17" s="533"/>
      <c r="HK17" s="533"/>
      <c r="HL17" s="682" t="s">
        <v>84</v>
      </c>
      <c r="HM17" s="683"/>
      <c r="HN17" s="683"/>
      <c r="HO17" s="683"/>
      <c r="HP17" s="683"/>
      <c r="HQ17" s="683"/>
      <c r="HR17" s="683"/>
      <c r="HS17" s="683"/>
      <c r="HT17" s="683"/>
      <c r="HU17" s="683"/>
      <c r="HV17" s="683"/>
      <c r="HW17" s="683"/>
      <c r="HX17" s="683"/>
      <c r="HY17" s="683"/>
      <c r="HZ17" s="683"/>
      <c r="IA17" s="683"/>
      <c r="IB17" s="683"/>
      <c r="IC17" s="683"/>
    </row>
    <row r="18" spans="2:244" ht="15" customHeight="1" x14ac:dyDescent="0.25">
      <c r="B18" s="221">
        <v>0.2</v>
      </c>
      <c r="C18" s="30">
        <v>2</v>
      </c>
      <c r="D18" s="31">
        <f>IF(Geg_dP&lt;AB18,((($BK$18*($N18/Cubics)^4+$BK$19*($N18/Cubics)^3+$BK$20*($N18/Cubics)^2+$BK$21*($N18/Cubics)^1+$BK$22)*(CF_Regime_Heat_noExp^$AA18)))*CF_Addit*Watts*CF_Altit,Lim_dP)</f>
        <v>1758.4563964140746</v>
      </c>
      <c r="E18" s="30">
        <f>IF(Geg_dP&lt;$AB18,ROUND((($D18/Watts)/((Tv_heat-Tr_heat)*1.163))*FlowH2O,IF(UnitsNo=1,0,IF(UnitsNo=2,2))),"")</f>
        <v>151</v>
      </c>
      <c r="F18" s="79">
        <f>IF(Geg_dP&lt;$AB18,IF((($BM$18*(E18/FlowH2O)^$BM$19))*kPa&gt;0,(($BM$18*(E18/FlowH2O)^$BM$19))*kPa,0),"")</f>
        <v>0.5910093296337543</v>
      </c>
      <c r="G18" s="32">
        <f>IF(Geg_dP&lt;$AB18,((($BL$18*($N18/Cubics)^4+$BL$19*($N18/Cubics)^3+$BL$20*($N18/Cubics)^2+$BL$21*($N18/Cubics)^1+$BL$22)*((CF_Regime_Cool_noExp)^$Y18)))*CF_Addit*Watts*CF_Altit,Lim_dP)</f>
        <v>366.99469629964148</v>
      </c>
      <c r="H18" s="32">
        <f>IF(Geg_dP&lt;$AB18,((G18/Watts)/(IF((237.3*LN((RH*EXP(17.27*(Tl_cool/(Tl_cool+237.3))))))/(17.27-LN((RH*EXP(17.27*(Tl_cool/(Tl_cool+237.3))))))&lt;EZ18,1,IF(1/(1+((2258*((0.622/((101325/(1*611*EXP(17.27*(EZ18/(EZ18+237.3))))))-1)*1000-(0.622/((101325/(RH*611*EXP(17.27*(Tl_cool/(Tl_cool+237.3))))))-1)*1000))/(1005*(Tavg_cold-Tl_cool))))&gt;1,1,1/(1+((2258*((0.622/((101325/(1*611*EXP(17.27*(EZ18/(EZ18+237.3))))))-1)*1000-(0.622/((101325/(RH*611*EXP(17.27*(Tl_cool/(Tl_cool+237.3))))))-1)*1000))/(1005*(Tavg_cold-Tl_cool))))))))*Watts,"")</f>
        <v>366.99469629964148</v>
      </c>
      <c r="I18" s="30">
        <f>IF(Geg_dP&lt;AB18,ROUND(((H18/Watts)/((Tr_cool-Tv_cool)*1.163))*FlowH2O,IF(UnitsNo=1,0,IF(UnitsNo=2,2))),"")</f>
        <v>158</v>
      </c>
      <c r="J18" s="79">
        <f>IF(Geg_dP&lt;$AB18,IF((($BM$21*(I18/Watts)^$BM$22))*kPa&gt;0,(($BM$21*(I18/FlowH2O)^$BM$22))*kPa,0),"")</f>
        <v>0.64232830079406078</v>
      </c>
      <c r="K18" s="78">
        <f>IF(Geg_dP&lt;AB18,IF($L18-8&lt;0,0,$L18-8),"")</f>
        <v>25.5</v>
      </c>
      <c r="L18" s="478">
        <f>IF(Geg_dP&lt;$AB18,IF(CalcNo="12",$ET18,IF(CalcNo="22",$ET18,IF(CalcNo="13",$EU18,IF(CalcNo="23",$EU18,IF(CalcNo="11",$ER18,IF(CalcNo="21",$ER18,IF(CalcNo="14",$ES18,IF(CalcNo="24",$ES18,IF(CalcNo="32",$EX18,IF(CalcNo="42",$EX18,IF(CalcNo="33",$EY18,IF(CalcNo="43",$EY18,IF(CalcNo="31",$EV18,IF(CalcNo="41",$EV18,IF(CalcNo="34",$EW18,IF(CalcNo="44",$EW18,)))))))))))))))),"")</f>
        <v>33.5</v>
      </c>
      <c r="M18" s="36">
        <f>IF(Geg_dP&lt;$AB18,($CF18*(($N18/Cubics)^4))+($CG18*(($N18/Cubics)^3))+($CH18*(($N18/Cubics)^2))+($CI18*($N18/Cubics))+$CJ18,"")</f>
        <v>3.664947735102877</v>
      </c>
      <c r="N18" s="197">
        <f>IF(Geg_dP&lt;$AB18,(BZ18*Geg_dP^5+CA18*Geg_dP^4+CB18*Geg_dP^3+CC18*Geg_dP^2+CD18*Geg_dP+CE18)*CF_Case*Cubics,"")</f>
        <v>133.768339</v>
      </c>
      <c r="O18" s="479">
        <f>IF(Geg_dP&lt;$AB18,(($N18/Cubics)/3600)/(($BJ$23/100)*($BP$23/100))*FeetMins,"")</f>
        <v>0.30708985078053253</v>
      </c>
      <c r="P18" s="198">
        <f>IF(Geg_dP&lt;$AB18,((($D18/Watts)/(((p_atm*0.028964)/(8.31447*(20+273.15)))*(($N18/3600)/Cubics)*(1005+1870*((0.622)/(((p_atm)/($E$14*pvs_heat_in))-1)))))+Tl_heat)*Celc1+Celc2,"")</f>
        <v>58.586381824666319</v>
      </c>
      <c r="Q18" s="297">
        <f>IF(Geg_dP&lt;$AB18,(27.8*LN(($GN18+36)/45.5))*Celc1+Celc2,"")</f>
        <v>25.483385849371835</v>
      </c>
      <c r="R18" s="508">
        <f>IF(Geg_dP&lt;$AB18,(Tl_cool-(($G18/Watts)/(1006*$N18*kgss)))*Celc1+Celc2,"")</f>
        <v>18.845741281251485</v>
      </c>
      <c r="S18" s="36">
        <f>IF(Geg_dP&lt;$AB18,IF((27.8*LN(($HA18+36)/45.5))*Celc1+Celc2&gt;R18,R18,(27.8*LN(($HA18+36)/45.5))*Celc1+Celc2),"")</f>
        <v>16.774904168824342</v>
      </c>
      <c r="T18" s="299">
        <f>IF(Geg_dP&lt;$AB18,IF($H18&gt;$G18,1,IF(($GT18/$GR18)&lt;0,0,$GT18/$GR18)),"")</f>
        <v>0.82074002552329861</v>
      </c>
      <c r="U18" s="416">
        <f>IF(Geg_dP&lt;$AB18,$CK18*($N18/Cubics)^2+$CL18*($N18/Cubics)^1+$CM18,"")</f>
        <v>480.7675172425503</v>
      </c>
      <c r="V18" s="483">
        <f>M18/((N18/Cubics)/3.6)</f>
        <v>9.8631798413601868E-2</v>
      </c>
      <c r="W18" s="513">
        <f>(G18/Watts)/(N18/Cubics)</f>
        <v>2.7435094062104</v>
      </c>
      <c r="X18" s="56">
        <f t="shared" ref="X18:X62" si="1">IF($BK$17="11",AC18,IF($BK$17="21",AC18,IF($BK$17="12",AK18,IF($BK$17="22",AK18,IF($BK$17="13",AO18,IF($BK$17="23",AO18,IF($BK$17="14",AG18,IF($BK$17="24",AG18,IF($BK$17="31",AS18,IF($BK$17="41",AS18,IF($BK$17="32",BA18,IF($BK$17="42",BA18,IF($BK$17="33",BE18,IF($BK$17="43",BE18,IF($BK$17="34",AW18,IF($BK$17="44",AW18,))))))))))))))))</f>
        <v>1.0210600000000001</v>
      </c>
      <c r="Y18" s="56">
        <f t="shared" ref="Y18:Z32" si="2">IF($BK$17="11",AD18,IF($BK$17="21",AD18,IF($BK$17="12",AL18,IF($BK$17="22",AL18,IF($BK$17="13",AP18,IF($BK$17="23",AP18,IF($BK$17="14",AH18,IF($BK$17="24",AH18,IF($BK$17="31",AT18,IF($BK$17="41",AT18,IF($BK$17="32",BB18,IF($BK$17="42",BB18,IF($BK$17="33",BF18,IF($BK$17="43",BF18,IF($BK$17="34",AX18,IF($BK$17="44",AX18,))))))))))))))))</f>
        <v>1.1002799999999999</v>
      </c>
      <c r="Z18" s="56">
        <f t="shared" si="2"/>
        <v>1.13249</v>
      </c>
      <c r="AA18" s="56">
        <f>IF($BK$17="11",X18,IF($BK$17="21",Z18,IF($BK$17="12",X18,IF($BK$17="22",Z18,IF($BK$17="13",X18,IF($BK$17="23",Z18,IF($BK$17="14",X18,IF($BK$17="24",Z18,IF($BK$17="31",X18,IF($BK$17="41",Z18,IF($BK$17="32",X18,IF($BK$17="42",Z18,IF($BK$17="33",X18,IF($BK$17="43",Z18,IF($BK$17="34",X18,IF($BK$17="44",Z18,))))))))))))))))</f>
        <v>1.0210600000000001</v>
      </c>
      <c r="AB18" s="56">
        <f>IF($BK$17="11",AF18,IF($BK$17="21",AF18,IF($BK$17="12",AN18,IF($BK$17="22",AN18,IF($BK$17="13",AR18,IF($BK$17="23",AR18,IF($BK$17="14",AJ18,IF($BK$17="24",AJ18,IF($BK$17="31",AV18,IF($BK$17="41",AV18,IF($BK$17="32",BD18,IF($BK$17="42",BD18,IF($BK$17="33",BH18,IF($BK$17="43",BH18,IF($BK$17="34",AZ18,IF($BK$17="44",AZ18,))))))))))))))))</f>
        <v>11</v>
      </c>
      <c r="AC18" s="95">
        <v>1.0210600000000001</v>
      </c>
      <c r="AD18" s="95">
        <v>1.1002799999999999</v>
      </c>
      <c r="AE18" s="95">
        <v>1.13249</v>
      </c>
      <c r="AF18" s="96">
        <v>10</v>
      </c>
      <c r="AG18" s="95">
        <v>1.0210600000000001</v>
      </c>
      <c r="AH18" s="95">
        <v>1.1002799999999999</v>
      </c>
      <c r="AI18" s="95">
        <v>1.13249</v>
      </c>
      <c r="AJ18" s="486">
        <v>11</v>
      </c>
      <c r="AK18" s="487">
        <v>1.0210600000000001</v>
      </c>
      <c r="AL18" s="487">
        <v>1.1002799999999999</v>
      </c>
      <c r="AM18" s="487">
        <v>1.13249</v>
      </c>
      <c r="AN18" s="486">
        <v>11</v>
      </c>
      <c r="AO18" s="488"/>
      <c r="AP18" s="488"/>
      <c r="AQ18" s="488"/>
      <c r="AR18" s="488">
        <v>1000</v>
      </c>
      <c r="AS18" s="488"/>
      <c r="AT18" s="488"/>
      <c r="AU18" s="488"/>
      <c r="AV18" s="488">
        <v>1000</v>
      </c>
      <c r="AW18" s="488"/>
      <c r="AX18" s="488"/>
      <c r="AY18" s="488"/>
      <c r="AZ18" s="488">
        <v>1000</v>
      </c>
      <c r="BA18" s="97"/>
      <c r="BB18" s="97"/>
      <c r="BC18" s="97"/>
      <c r="BD18" s="97">
        <v>1000</v>
      </c>
      <c r="BE18" s="97"/>
      <c r="BF18" s="97"/>
      <c r="BG18" s="97"/>
      <c r="BH18" s="97">
        <v>1000</v>
      </c>
      <c r="BK18" s="80">
        <f t="shared" ref="BK18:BM19" si="3">IF($BK$17="11",BN18,IF($BK$17="21",BQ18,IF($BK$17="12",BN18,IF($BK$17="22",BQ18,IF($BK$17="13",0,IF($BK$17="23",0,IF($BK$17="14",BN18,IF($BK$17="24",BQ18,IF($BK$17="31",BT18,IF($BK$17="41",BW18,IF($BK$17="32",BT18,IF($BK$17="42",BW18,IF($BK$17="33",BT18,IF($BK$17="43",BW18,IF($BK$17="34",BT18,IF($BK$17="44",BW18,))))))))))))))))</f>
        <v>0</v>
      </c>
      <c r="BL18" s="81">
        <f t="shared" si="3"/>
        <v>0</v>
      </c>
      <c r="BM18" s="87">
        <f t="shared" si="3"/>
        <v>5.856967585387631E-5</v>
      </c>
      <c r="BN18" s="97"/>
      <c r="BO18" s="97"/>
      <c r="BP18" s="105">
        <f>BP21</f>
        <v>5.856967585387631E-5</v>
      </c>
      <c r="BQ18" s="97"/>
      <c r="BR18" s="97">
        <f>BO18</f>
        <v>0</v>
      </c>
      <c r="BS18" s="105">
        <v>5.4889834782669749E-4</v>
      </c>
      <c r="BT18" s="97">
        <v>0</v>
      </c>
      <c r="BU18" s="97">
        <v>0</v>
      </c>
      <c r="BV18" s="97">
        <v>0</v>
      </c>
      <c r="BW18" s="97">
        <v>0</v>
      </c>
      <c r="BX18" s="97">
        <v>0</v>
      </c>
      <c r="BY18" s="97">
        <v>0</v>
      </c>
      <c r="BZ18" s="128">
        <f t="shared" ref="BZ18:CE22" si="4">IF($BK$17="11",CN18,IF($BK$17="21",CN18,IF($BK$17="12",DP18,IF($BK$17="22",DP18,IF($BK$17="13",ED18,IF($BK$17="23",ED18,IF($BK$17="14",DB18,IF($BK$17="24",DB18,IF($BK$17="31",0,IF($BK$17="41",0,IF($BK$17="32",0,IF($BK$17="42",0,IF($BK$17="33",0,IF($BK$17="43",0,IF($BK$17="34",DB18,IF($BK$17="44",DB18,))))))))))))))))</f>
        <v>0</v>
      </c>
      <c r="CA18" s="129">
        <f t="shared" si="4"/>
        <v>1.4151204499999999E-3</v>
      </c>
      <c r="CB18" s="129">
        <f t="shared" si="4"/>
        <v>-3.9301605599999997E-2</v>
      </c>
      <c r="CC18" s="129">
        <f t="shared" si="4"/>
        <v>0.173500294</v>
      </c>
      <c r="CD18" s="129">
        <f t="shared" si="4"/>
        <v>-7.9339440999999997</v>
      </c>
      <c r="CE18" s="129">
        <f t="shared" si="4"/>
        <v>133.768339</v>
      </c>
      <c r="CF18" s="128">
        <f t="shared" ref="CF18:CI19" si="5">IF($BK$17="11",CT18,IF($BK$17="21",CT18,IF($BK$17="12",DV18,IF($BK$17="22",DV18,IF($BK$17="13",EJ18,IF($BK$17="23",EJ18,IF($BK$17="14",DH18,IF($BK$17="24",DH18,IF($BK$17="31",0,IF($BK$17="41",0,IF($BK$17="32",0,IF($BK$17="42",0,IF($BK$17="33",0,IF($BK$17="43",0,IF($BK$17="34",DH18,IF($BK$17="44",DH18,))))))))))))))))</f>
        <v>0</v>
      </c>
      <c r="CG18" s="129">
        <f t="shared" si="5"/>
        <v>-2.22290258E-7</v>
      </c>
      <c r="CH18" s="129">
        <f t="shared" si="5"/>
        <v>4.8167500999999999E-5</v>
      </c>
      <c r="CI18" s="129">
        <f t="shared" si="5"/>
        <v>2.9326778499999999E-3</v>
      </c>
      <c r="CJ18" s="129">
        <f t="shared" ref="CJ18:CM22" si="6">IF($BK$17="11",CX18,IF($BK$17="21",CX18,IF($BK$17="12",DZ18,IF($BK$17="22",DZ18,IF($BK$17="13",EN18,IF($BK$17="23",EN18,IF($BK$17="14",DL18,IF($BK$17="24",DL18,IF($BK$17="31",0,IF($BK$17="41",0,IF($BK$17="32",0,IF($BK$17="42",0,IF($BK$17="33",0,IF($BK$17="43",0,IF($BK$17="34",DL18,IF($BK$17="44",DL18,))))))))))))))))</f>
        <v>2.9428248300000002</v>
      </c>
      <c r="CK18" s="128">
        <f t="shared" si="6"/>
        <v>4.8560990599999998E-4</v>
      </c>
      <c r="CL18" s="129">
        <f t="shared" si="6"/>
        <v>-0.60901182399999998</v>
      </c>
      <c r="CM18" s="130">
        <f t="shared" si="6"/>
        <v>553.54452900000001</v>
      </c>
      <c r="CN18" s="356"/>
      <c r="CO18" s="110">
        <v>4.4785104099999999E-3</v>
      </c>
      <c r="CP18" s="110">
        <v>-0.108337664</v>
      </c>
      <c r="CQ18" s="110">
        <v>0.68253627900000002</v>
      </c>
      <c r="CR18" s="110">
        <v>-9.9425437799999994</v>
      </c>
      <c r="CS18" s="111">
        <v>97.887355099999994</v>
      </c>
      <c r="CT18" s="356"/>
      <c r="CU18" s="112">
        <v>-5.8015269900000001E-7</v>
      </c>
      <c r="CV18" s="110">
        <v>1.0073709E-4</v>
      </c>
      <c r="CW18" s="110">
        <v>8.9554443799999995E-4</v>
      </c>
      <c r="CX18" s="111">
        <v>2.3936261700000001</v>
      </c>
      <c r="CY18" s="110">
        <v>-3.6607520000000001E-4</v>
      </c>
      <c r="CZ18" s="110">
        <v>-0.29127268699999997</v>
      </c>
      <c r="DA18" s="421">
        <v>481.97162900000001</v>
      </c>
      <c r="DB18" s="420"/>
      <c r="DC18" s="110">
        <v>-1.4135991E-3</v>
      </c>
      <c r="DD18" s="110">
        <v>-2.1095546100000002E-3</v>
      </c>
      <c r="DE18" s="110">
        <v>8.1482758899999994E-2</v>
      </c>
      <c r="DF18" s="110">
        <v>-10.389730999999999</v>
      </c>
      <c r="DG18" s="111">
        <v>142.571774</v>
      </c>
      <c r="DH18" s="376"/>
      <c r="DI18" s="125">
        <v>3.9763291900000004E-9</v>
      </c>
      <c r="DJ18" s="121">
        <v>-1.8232013700000001E-6</v>
      </c>
      <c r="DK18" s="121">
        <v>6.4607285600000001E-3</v>
      </c>
      <c r="DL18" s="122">
        <v>2.76564188</v>
      </c>
      <c r="DM18" s="110">
        <v>1.14875471E-4</v>
      </c>
      <c r="DN18" s="110">
        <v>-0.29677603299999999</v>
      </c>
      <c r="DO18" s="421">
        <v>520.80188899999996</v>
      </c>
      <c r="DP18" s="420"/>
      <c r="DQ18" s="110">
        <v>1.4151204499999999E-3</v>
      </c>
      <c r="DR18" s="110">
        <v>-3.9301605599999997E-2</v>
      </c>
      <c r="DS18" s="110">
        <v>0.173500294</v>
      </c>
      <c r="DT18" s="110">
        <v>-7.9339440999999997</v>
      </c>
      <c r="DU18" s="111">
        <v>133.768339</v>
      </c>
      <c r="DV18" s="376"/>
      <c r="DW18" s="125">
        <v>-2.22290258E-7</v>
      </c>
      <c r="DX18" s="121">
        <v>4.8167500999999999E-5</v>
      </c>
      <c r="DY18" s="121">
        <v>2.9326778499999999E-3</v>
      </c>
      <c r="DZ18" s="122">
        <v>2.9428248300000002</v>
      </c>
      <c r="EA18" s="110">
        <f xml:space="preserve"> 0.000485609906</f>
        <v>4.8560990599999998E-4</v>
      </c>
      <c r="EB18" s="110">
        <v>-0.60901182399999998</v>
      </c>
      <c r="EC18" s="421">
        <v>553.54452900000001</v>
      </c>
      <c r="ED18" s="348"/>
      <c r="EE18" s="348"/>
      <c r="EF18" s="348"/>
      <c r="EG18" s="348"/>
      <c r="EH18" s="348"/>
      <c r="EI18" s="349"/>
      <c r="EJ18" s="347"/>
      <c r="EK18" s="348"/>
      <c r="EL18" s="348"/>
      <c r="EM18" s="348"/>
      <c r="EN18" s="349"/>
      <c r="EO18" s="413"/>
      <c r="EP18" s="413"/>
      <c r="EQ18" s="413"/>
      <c r="ER18" s="137">
        <v>33.5</v>
      </c>
      <c r="ES18" s="362"/>
      <c r="ET18" s="137">
        <v>33.5</v>
      </c>
      <c r="EU18" s="359"/>
      <c r="EV18" s="362"/>
      <c r="EW18" s="363"/>
      <c r="EX18" s="363"/>
      <c r="EY18" s="364"/>
      <c r="EZ18" s="137">
        <f>IF($BK$17="11",FA18,IF($BK$17="21",FA18,IF($BK$17="12",FC18,IF($BK$17="22",FC18,IF($BK$17="13",FD18,IF($BK$17="23",FD18,IF($BK$17="14",FB18,IF($BK$17="24",FB18,IF($BK$17="31",FE18,IF($BK$17="41",FE18,IF($BK$17="32",FG18,IF($BK$17="42",FG18,IF($BK$17="33",FH18,IF($BK$17="43",FH18,IF($BK$17="34",FF18,IF($BK$17="44",FF18,))))))))))))))))</f>
        <v>17.5</v>
      </c>
      <c r="FA18" s="143">
        <f>Tavg_cold</f>
        <v>17</v>
      </c>
      <c r="FB18" s="143">
        <f>IF($GC18&lt;=$FC18,$FC18,IF($FM18&lt;=$FP18,$FC18,$FZ18))</f>
        <v>17.5</v>
      </c>
      <c r="FC18" s="143">
        <f>IF($N18&gt;$FN18,Tavg_cold+(0.5*(Tr_cool-Tavg_cold)),Tavg_cold+($FJ18*(Tr_cool-Tavg_cold)))</f>
        <v>17.5</v>
      </c>
      <c r="FD18" s="356"/>
      <c r="FE18" s="348"/>
      <c r="FF18" s="348"/>
      <c r="FG18" s="348"/>
      <c r="FH18" s="349"/>
      <c r="FJ18" s="344">
        <f>0.5*(1-((FN18-N18)/FN18))</f>
        <v>0.5</v>
      </c>
      <c r="FK18" s="241">
        <f>(0.025*Tl_cool)+0.5</f>
        <v>1.175</v>
      </c>
      <c r="FL18" s="400"/>
      <c r="FM18" s="230">
        <f>FQ18/FO18</f>
        <v>0.55555555555555558</v>
      </c>
      <c r="FN18" s="226">
        <f>DU18</f>
        <v>133.768339</v>
      </c>
      <c r="FO18" s="226">
        <f>FN18*1.8</f>
        <v>240.78301020000001</v>
      </c>
      <c r="FP18" s="222">
        <f>FN18/FO18</f>
        <v>0.55555555555555558</v>
      </c>
      <c r="FQ18" s="251">
        <f>N18/Cubics</f>
        <v>133.768339</v>
      </c>
      <c r="FR18" s="241">
        <f>IF(FQ18-(FP18*FO18)&lt;=0,0,FQ18-(FP18*FO18))</f>
        <v>0</v>
      </c>
      <c r="FS18" s="242">
        <f>FO18*(1-FP18)</f>
        <v>107.0146712</v>
      </c>
      <c r="FT18" s="248">
        <f>IF((FR18/FS18)&gt;1,1,FR18/FS18)</f>
        <v>0</v>
      </c>
      <c r="FU18" s="224">
        <f>FC18</f>
        <v>17.5</v>
      </c>
      <c r="FV18" s="219">
        <f>Tr_cool*FK18</f>
        <v>21.150000000000002</v>
      </c>
      <c r="FW18" s="224">
        <f>ABS(FV18-FU18)</f>
        <v>3.6500000000000021</v>
      </c>
      <c r="FX18" s="401"/>
      <c r="FY18" s="401"/>
      <c r="FZ18" s="224">
        <f>IF(FM18&lt;=FP18,FU18,FU18+(FT18*FW18))</f>
        <v>17.5</v>
      </c>
      <c r="GA18" s="401"/>
      <c r="GC18" s="161">
        <f>(237.3*LN((RH*EXP(17.27*(Tl_cool/(Tl_cool+237.3))))))/(17.27-LN((RH*EXP(17.27*(Tl_cool/(Tl_cool+237.3))))))</f>
        <v>15.69066559142683</v>
      </c>
      <c r="GE18" s="258">
        <f>(H18-G18)/H18</f>
        <v>0</v>
      </c>
      <c r="GG18" s="302">
        <f>(611*EXP(17.27*(Tl_heat/(Tl_heat+237.7))))</f>
        <v>2334.1781978570243</v>
      </c>
      <c r="GH18" s="302">
        <f>(611*EXP(17.27*((($P18-Celc2)/Celc1)/((($P18-Celc2)/Celc1)+237.7))))</f>
        <v>18582.800428695329</v>
      </c>
      <c r="GI18" s="302">
        <f>RH*$GG18</f>
        <v>1167.0890989285122</v>
      </c>
      <c r="GJ18" s="302">
        <f>(GL18*p_atm)/(GL18+0.622)</f>
        <v>1167.0890989285119</v>
      </c>
      <c r="GK18" s="302">
        <f>0.622*($GI18/(p_atm-$GI18))</f>
        <v>7.2478490515896785E-3</v>
      </c>
      <c r="GL18" s="302">
        <f>GK18</f>
        <v>7.2478490515896785E-3</v>
      </c>
      <c r="GM18" s="302">
        <f>(1.005*Tl_heat)+($GK18*(2500+(1.87*Tl_heat)))</f>
        <v>38.490692183503647</v>
      </c>
      <c r="GN18" s="302">
        <f>(1.005*(($P18-Celc2)/Celc1))+($GL18*(2500+(1.87*(($P18-Celc2)/Celc1))))</f>
        <v>77.792985583899082</v>
      </c>
      <c r="GO18" s="303">
        <f>GJ18/GH18</f>
        <v>6.2804801860020382E-2</v>
      </c>
      <c r="GQ18" s="302">
        <f>pvs_cool_in</f>
        <v>3566.5076087433313</v>
      </c>
      <c r="GR18" s="302">
        <f>(611*EXP(17.27*((($R18-Celc2)/Celc1)/((($R18-Celc2)/Celc1)+237.7))))</f>
        <v>2172.738929400542</v>
      </c>
      <c r="GS18" s="302">
        <f>RH*$GQ18</f>
        <v>1783.2538043716656</v>
      </c>
      <c r="GT18" s="302">
        <f>(GW18*p_atm)/(GW18+0.622)</f>
        <v>1783.2538043716654</v>
      </c>
      <c r="GU18" s="302">
        <f>T18*GR18</f>
        <v>1783.2538043716654</v>
      </c>
      <c r="GV18" s="304">
        <f>0.622*($GS18/(p_atm-$GS18))</f>
        <v>1.1142901432925525E-2</v>
      </c>
      <c r="GW18" s="304">
        <f>IF(H18=G18,GV18,(0.53475935828878*($GZ18-(1.005*(($R18-Celc2)/Celc1))))/(1336.8983957219))</f>
        <v>1.1142901432925525E-2</v>
      </c>
      <c r="GX18" s="302">
        <f>0.622*($GU18/(p_atm-$GU18))</f>
        <v>1.1142901432925525E-2</v>
      </c>
      <c r="GY18" s="302">
        <f>(1.005*Tl_cool)+($GV18*(2500+(1.87*Tl_cool)))</f>
        <v>55.554858675662217</v>
      </c>
      <c r="GZ18" s="302">
        <f>GY18-((((H18-G18)/Watts)/1000)/(N18/$L$15))</f>
        <v>55.554858675662217</v>
      </c>
      <c r="HA18" s="302">
        <f>(1.005*(($R18-Celc2)/Celc1))+($GX18*(2500+(1.87*(($R18-Celc2)/Celc1))))</f>
        <v>47.189916534147791</v>
      </c>
      <c r="HB18" s="302">
        <f>27.8*LN((GY18+36)/45.5)</f>
        <v>19.438483217977073</v>
      </c>
      <c r="HC18" s="302">
        <f>27.8*LN((GZ18+36)/45.5)</f>
        <v>19.438483217977073</v>
      </c>
      <c r="HD18" s="679"/>
      <c r="HE18" s="57">
        <f t="shared" ref="HE18:HE62" si="7">IF(Geg_dP&lt;$AB18,(BZ18*0^5+CA18*0^4+CB18*0^3+CC18*0^2+CD18*0+CE18)*CF_Case*Cubics,"")</f>
        <v>133.768339</v>
      </c>
      <c r="HF18" s="57">
        <f t="shared" ref="HF18:HF23" si="8">IF(Geg_dP&lt;$AB18,((($BL$18*($HE18/Cubics)^4+$BL$19*($HE18/Cubics)^3+$BL$20*($HE18/Cubics)^2+$BL$21*($HE18/Cubics)^1+$BL$22)*((CF_Regime_Cool_noExp)^$Y18)))*CF_Addit*Watts*CF_Altit,Lim_dP)</f>
        <v>366.99469629964148</v>
      </c>
      <c r="HG18" s="525">
        <f t="shared" ref="HG18:HG62" si="9">IF($HE18&gt;HP18,Tavg_cold+(0.5*(Tr_cool-Tavg_cold)),Tavg_cold+(HL18*(Tr_cool-Tavg_cold)))</f>
        <v>17.5</v>
      </c>
      <c r="HH18" s="57">
        <f t="shared" ref="HH18:HH62" si="10">IF($IE18&lt;=$HG18,$HG18,IF($HO18&lt;=$HR18,$HG18,$IB18))</f>
        <v>17.5</v>
      </c>
      <c r="HL18" s="344">
        <f>0.5*(1-((HP18-HE18)/HP18))</f>
        <v>0.5</v>
      </c>
      <c r="HM18" s="241">
        <f>(0.025*Tl_cool)+0.5</f>
        <v>1.175</v>
      </c>
      <c r="HN18" s="400"/>
      <c r="HO18" s="230">
        <f>HS18/HQ18</f>
        <v>0.55555555555555558</v>
      </c>
      <c r="HP18" s="226">
        <f>DU18</f>
        <v>133.768339</v>
      </c>
      <c r="HQ18" s="226">
        <f>HP18*1.8</f>
        <v>240.78301020000001</v>
      </c>
      <c r="HR18" s="222">
        <f>HP18/HQ18</f>
        <v>0.55555555555555558</v>
      </c>
      <c r="HS18" s="251">
        <f t="shared" ref="HS18:HS62" si="11">HE18/Cubics</f>
        <v>133.768339</v>
      </c>
      <c r="HT18" s="241">
        <f>IF(HS18-(HR18*HQ18)&lt;=0,0,HS18-(HR18*HQ18))</f>
        <v>0</v>
      </c>
      <c r="HU18" s="242">
        <f>HQ18*(1-HR18)</f>
        <v>107.0146712</v>
      </c>
      <c r="HV18" s="248">
        <f>IF((HT18/HU18)&gt;1,1,HT18/HU18)</f>
        <v>0</v>
      </c>
      <c r="HW18" s="224">
        <f t="shared" ref="HW18:HW62" si="12">FC18</f>
        <v>17.5</v>
      </c>
      <c r="HX18" s="219">
        <f>Tr_cool*HM18</f>
        <v>21.150000000000002</v>
      </c>
      <c r="HY18" s="224">
        <f>ABS(HX18-HW18)</f>
        <v>3.6500000000000021</v>
      </c>
      <c r="HZ18" s="401"/>
      <c r="IA18" s="401"/>
      <c r="IB18" s="224">
        <f>IF(HO18&lt;=HR18,HW18,HW18+(HV18*HY18))</f>
        <v>17.5</v>
      </c>
      <c r="IC18" s="401"/>
      <c r="IE18" s="161">
        <f>(237.3*LN((RH*EXP(17.27*(Tl_cool/(Tl_cool+237.3))))))/(17.27-LN((RH*EXP(17.27*(Tl_cool/(Tl_cool+237.3))))))</f>
        <v>15.69066559142683</v>
      </c>
      <c r="IG18" s="258" t="e">
        <f>(BG18-BF18)/BG18</f>
        <v>#DIV/0!</v>
      </c>
      <c r="II18" s="302">
        <f>(611*EXP(17.27*(Tl_heat/(Tl_heat+237.7))))</f>
        <v>2334.1781978570243</v>
      </c>
      <c r="IJ18" s="302">
        <f>(611*EXP(17.27*((($P18-Celc2)/Celc1)/((($P18-Celc2)/Celc1)+237.7))))</f>
        <v>18582.800428695329</v>
      </c>
    </row>
    <row r="19" spans="2:244" x14ac:dyDescent="0.25">
      <c r="B19" s="221">
        <v>0.4</v>
      </c>
      <c r="C19" s="30">
        <v>4</v>
      </c>
      <c r="D19" s="31">
        <f>IF(Geg_dP&lt;AB19,((($BK$18*($N19/Cubics)^4+$BK$19*($N19/Cubics)^3+$BK$20*($N19/Cubics)^2+$BK$21*($N19/Cubics)^1+$BK$22)*((CF_Regime_Heat_noExp)^$AA19)))*CF_Addit*Watts*CF_Altit,Lim_dP)</f>
        <v>3118.7979461784221</v>
      </c>
      <c r="E19" s="30">
        <f>IF(Geg_dP&lt;$AB19,ROUND((($D19/Watts)/((Tv_heat-Tr_heat)*1.163))*FlowH2O,IF(UnitsNo=1,0,IF(UnitsNo=2,2))),"")</f>
        <v>268</v>
      </c>
      <c r="F19" s="79">
        <f>IF(Geg_dP&lt;$AB19,IF((($BM$18*(E19/FlowH2O)^$BM$19))*kPa&gt;0,(($BM$18*(E19/FlowH2O)^$BM$19))*kPa,0),"")</f>
        <v>1.6960074461691081</v>
      </c>
      <c r="G19" s="32">
        <f>IF(Geg_dP&lt;$AB19,((($BL$18*($N19/Cubics)^4+$BL$19*($N19/Cubics)^3+$BL$20*($N19/Cubics)^2+$BL$21*($N19/Cubics)^1+$BL$22)*((CF_Regime_Cool_noExp)^$Y19)))*CF_Addit*Watts*CF_Altit,Lim_dP)</f>
        <v>658.63965576729504</v>
      </c>
      <c r="H19" s="32">
        <f>IF(Geg_dP&lt;$AB19,((G19/Watts)/(IF((237.3*LN((RH*EXP(17.27*(Tl_cool/(Tl_cool+237.3))))))/(17.27-LN((RH*EXP(17.27*(Tl_cool/(Tl_cool+237.3))))))&lt;EZ19,1,IF(1/(1+((2258*((0.622/((101325/(1*611*EXP(17.27*(EZ19/(EZ19+237.3))))))-1)*1000-(0.622/((101325/(RH*611*EXP(17.27*(Tl_cool/(Tl_cool+237.3))))))-1)*1000))/(1005*(Tavg_cold-Tl_cool))))&gt;1,1,1/(1+((2258*((0.622/((101325/(1*611*EXP(17.27*(EZ19/(EZ19+237.3))))))-1)*1000-(0.622/((101325/(RH*611*EXP(17.27*(Tl_cool/(Tl_cool+237.3))))))-1)*1000))/(1005*(Tavg_cold-Tl_cool))))))))*Watts,"")</f>
        <v>658.63965576729504</v>
      </c>
      <c r="I19" s="30">
        <f>IF(Geg_dP&lt;AB19,ROUND(((H19/Watts)/((Tr_cool-Tv_cool)*1.163))*FlowH2O,IF(UnitsNo=1,0,IF(UnitsNo=2,2))),"")</f>
        <v>283</v>
      </c>
      <c r="J19" s="79">
        <f>IF(Geg_dP&lt;$AB19,IF((($BM$21*(I19/FlowH2O)^$BM$22))*kPa&gt;0,(($BM$21*(I19/FlowH2O)^$BM$22))*kPa,0),"")</f>
        <v>1.8745119075616177</v>
      </c>
      <c r="K19" s="78">
        <f>IF(Geg_dP&lt;AB19,IF($L19-8&lt;0,0,$L19-8),"")</f>
        <v>35</v>
      </c>
      <c r="L19" s="478">
        <f>IF(Geg_dP&lt;$AB19,IF(CalcNo="12",$ET19,IF(CalcNo="22",$ET19,IF(CalcNo="13",$EU19,IF(CalcNo="23",$EU19,IF(CalcNo="11",$ER19,IF(CalcNo="21",$ER19,IF(CalcNo="14",$ES19,IF(CalcNo="24",$ES19,IF(CalcNo="32",$EX19,IF(CalcNo="42",$EX19,IF(CalcNo="33",$EY19,IF(CalcNo="43",$EY19,IF(CalcNo="31",$EV19,IF(CalcNo="41",$EV19,IF(CalcNo="34",$EW19,IF(CalcNo="44",$EW19,)))))))))))))))),"")</f>
        <v>43</v>
      </c>
      <c r="M19" s="36">
        <f>IF(Geg_dP&lt;$AB19,($CF19*(($N19/Cubics)^4))+($CG19*(($N19/Cubics)^3))+($CH19*(($N19/Cubics)^2))+($CI19*($N19/Cubics))+$CJ19,"")</f>
        <v>8.7384827502810118</v>
      </c>
      <c r="N19" s="197">
        <f>IF(Geg_dP&lt;$AB19,(BZ19*Geg_dP^5+CA19*Geg_dP^4+CB19*Geg_dP^3+CC19*Geg_dP^2+CD19*Geg_dP+CE19)*CF_Case*Cubics,"")</f>
        <v>254.18655100000001</v>
      </c>
      <c r="O19" s="479">
        <f>IF(Geg_dP&lt;$AB19,(($N19/Cubics)/3600)/(($BJ$23/100)*($BP$23/100))*FeetMins,"")</f>
        <v>0.58353202708907259</v>
      </c>
      <c r="P19" s="198">
        <f>IF(Geg_dP&lt;$AB19,((($D19/Watts)/(((p_atm*0.028964)/(8.31447*(20+273.15)))*(($N19/3600)/Cubics)*(1005+1870*((0.622)/(((p_atm)/($E$14*pvs_heat_in))-1)))))+Tl_heat)*Celc1+Celc2,"")</f>
        <v>56.015583836930531</v>
      </c>
      <c r="Q19" s="297">
        <f>IF(Geg_dP&lt;$AB19,(27.8*LN(($GN19+36)/45.5))*Celc1+Celc2,"")</f>
        <v>24.836203809524349</v>
      </c>
      <c r="R19" s="508">
        <f>IF(Geg_dP&lt;$AB19,(Tl_cool-(($G19/Watts)/(1006*$N19*kgss)))*Celc1+Celc2,"")</f>
        <v>19.298535103604365</v>
      </c>
      <c r="S19" s="36">
        <f>IF(Geg_dP&lt;$AB19,IF((27.8*LN(($HA19+36)/45.5))*Celc1+Celc2&gt;R19,R19,(27.8*LN(($HA19+36)/45.5))*Celc1+Celc2),"")</f>
        <v>16.904232248038639</v>
      </c>
      <c r="T19" s="299">
        <f>IF(Geg_dP&lt;$AB19,IF($H19&gt;$G19,1,IF(($GT19/$GR19)&lt;0,0,$GT19/$GR19)),"")</f>
        <v>0.79580034405408739</v>
      </c>
      <c r="U19" s="416">
        <f>IF(Geg_dP&lt;$AB19,$CK19*($N19/Cubics)^2+$CL19*($N19/Cubics)^1+$CM19,"")</f>
        <v>729.98769758288381</v>
      </c>
      <c r="V19" s="483">
        <f>M19/((N19/Cubics)/3.6)</f>
        <v>0.12376161436256178</v>
      </c>
      <c r="W19" s="513">
        <f>(G19/Watts)/(N19/Cubics)</f>
        <v>2.5911664215755263</v>
      </c>
      <c r="X19" s="56">
        <f t="shared" si="1"/>
        <v>1.0210600000000001</v>
      </c>
      <c r="Y19" s="56">
        <f t="shared" si="2"/>
        <v>1.1002799999999999</v>
      </c>
      <c r="Z19" s="56">
        <f t="shared" si="2"/>
        <v>1.13249</v>
      </c>
      <c r="AA19" s="56">
        <f t="shared" ref="AA19:AA62" si="13">IF($BK$17="11",X19,IF($BK$17="21",Z19,IF($BK$17="12",X19,IF($BK$17="22",Z19,IF($BK$17="13",X19,IF($BK$17="23",Z19,IF($BK$17="14",X19,IF($BK$17="24",Z19,IF($BK$17="31",X19,IF($BK$17="41",Z19,IF($BK$17="32",X19,IF($BK$17="42",Z19,IF($BK$17="33",X19,IF($BK$17="43",Z19,IF($BK$17="34",X19,IF($BK$17="44",Z19,))))))))))))))))</f>
        <v>1.0210600000000001</v>
      </c>
      <c r="AB19" s="56">
        <f t="shared" ref="AB19:AB62" si="14">IF($BK$17="11",AF19,IF($BK$17="21",AF19,IF($BK$17="12",AN19,IF($BK$17="22",AN19,IF($BK$17="13",AR19,IF($BK$17="23",AR19,IF($BK$17="14",AJ19,IF($BK$17="24",AJ19,IF($BK$17="31",AV19,IF($BK$17="41",AV19,IF($BK$17="32",BD19,IF($BK$17="42",BD19,IF($BK$17="33",BH19,IF($BK$17="43",BH19,IF($BK$17="34",AZ19,IF($BK$17="44",AZ19,))))))))))))))))</f>
        <v>33.42</v>
      </c>
      <c r="AC19" s="95">
        <v>1.0210600000000001</v>
      </c>
      <c r="AD19" s="95">
        <v>1.1002799999999999</v>
      </c>
      <c r="AE19" s="95">
        <v>1.13249</v>
      </c>
      <c r="AF19" s="96">
        <v>31</v>
      </c>
      <c r="AG19" s="95">
        <v>1.0210600000000001</v>
      </c>
      <c r="AH19" s="95">
        <v>1.1002799999999999</v>
      </c>
      <c r="AI19" s="95">
        <v>1.13249</v>
      </c>
      <c r="AJ19" s="486">
        <v>43</v>
      </c>
      <c r="AK19" s="487">
        <v>1.0210600000000001</v>
      </c>
      <c r="AL19" s="487">
        <v>1.1002799999999999</v>
      </c>
      <c r="AM19" s="487">
        <v>1.13249</v>
      </c>
      <c r="AN19" s="486">
        <v>33.42</v>
      </c>
      <c r="AO19" s="488"/>
      <c r="AP19" s="488"/>
      <c r="AQ19" s="488"/>
      <c r="AR19" s="488">
        <v>1000</v>
      </c>
      <c r="AS19" s="488"/>
      <c r="AT19" s="488"/>
      <c r="AU19" s="488"/>
      <c r="AV19" s="488">
        <v>1000</v>
      </c>
      <c r="AW19" s="488"/>
      <c r="AX19" s="488"/>
      <c r="AY19" s="488"/>
      <c r="AZ19" s="488">
        <v>1000</v>
      </c>
      <c r="BA19" s="97"/>
      <c r="BB19" s="97"/>
      <c r="BC19" s="97"/>
      <c r="BD19" s="97">
        <v>1000</v>
      </c>
      <c r="BE19" s="97"/>
      <c r="BF19" s="97"/>
      <c r="BG19" s="97"/>
      <c r="BH19" s="97">
        <v>1000</v>
      </c>
      <c r="BK19" s="82">
        <f t="shared" si="3"/>
        <v>1.4795561500000001E-5</v>
      </c>
      <c r="BL19" s="83">
        <f t="shared" si="3"/>
        <v>0</v>
      </c>
      <c r="BM19" s="87">
        <f t="shared" si="3"/>
        <v>1.8375235778256551</v>
      </c>
      <c r="BN19" s="103">
        <v>1.4795561500000001E-5</v>
      </c>
      <c r="BO19" s="97"/>
      <c r="BP19" s="106">
        <f>BP22</f>
        <v>1.8375235778256551</v>
      </c>
      <c r="BQ19" s="97"/>
      <c r="BR19" s="97">
        <f>BO19</f>
        <v>0</v>
      </c>
      <c r="BS19" s="106">
        <v>1.7962649934524995</v>
      </c>
      <c r="BT19" s="97">
        <v>0</v>
      </c>
      <c r="BU19" s="97">
        <v>0</v>
      </c>
      <c r="BV19" s="97">
        <v>0</v>
      </c>
      <c r="BW19" s="97">
        <v>0</v>
      </c>
      <c r="BX19" s="97">
        <v>0</v>
      </c>
      <c r="BY19" s="97">
        <v>0</v>
      </c>
      <c r="BZ19" s="131">
        <f t="shared" si="4"/>
        <v>0</v>
      </c>
      <c r="CA19" s="132">
        <f t="shared" si="4"/>
        <v>5.3492566500000002E-5</v>
      </c>
      <c r="CB19" s="132">
        <f t="shared" si="4"/>
        <v>-4.1554349300000001E-3</v>
      </c>
      <c r="CC19" s="132">
        <f t="shared" si="4"/>
        <v>5.3769846400000001E-2</v>
      </c>
      <c r="CD19" s="132">
        <f t="shared" si="4"/>
        <v>-6.0395935100000004</v>
      </c>
      <c r="CE19" s="133">
        <f t="shared" si="4"/>
        <v>254.18655100000001</v>
      </c>
      <c r="CF19" s="131">
        <f t="shared" si="5"/>
        <v>0</v>
      </c>
      <c r="CG19" s="132">
        <f t="shared" si="5"/>
        <v>-1.4980762600000001E-7</v>
      </c>
      <c r="CH19" s="132">
        <f t="shared" si="5"/>
        <v>6.1215801E-5</v>
      </c>
      <c r="CI19" s="132">
        <f t="shared" si="5"/>
        <v>9.0872636600000008E-3</v>
      </c>
      <c r="CJ19" s="132">
        <f t="shared" si="6"/>
        <v>4.9337406699999997</v>
      </c>
      <c r="CK19" s="131">
        <f t="shared" si="6"/>
        <v>2.8153850699999999E-4</v>
      </c>
      <c r="CL19" s="132">
        <f t="shared" si="6"/>
        <v>-0.58074918900000005</v>
      </c>
      <c r="CM19" s="133">
        <f t="shared" si="6"/>
        <v>859.41590199999996</v>
      </c>
      <c r="CN19" s="357"/>
      <c r="CO19" s="113">
        <v>5.7711647E-5</v>
      </c>
      <c r="CP19" s="113">
        <v>-4.1810682199999996E-3</v>
      </c>
      <c r="CQ19" s="113">
        <v>5.9278078200000001E-2</v>
      </c>
      <c r="CR19" s="113">
        <v>-5.86534741</v>
      </c>
      <c r="CS19" s="114">
        <v>201.77419599999999</v>
      </c>
      <c r="CT19" s="357"/>
      <c r="CU19" s="115">
        <v>-2.4348565599999998E-7</v>
      </c>
      <c r="CV19" s="113">
        <v>8.2968592800000001E-5</v>
      </c>
      <c r="CW19" s="113">
        <v>7.2576194499999998E-3</v>
      </c>
      <c r="CX19" s="116">
        <v>4.2702563400000004</v>
      </c>
      <c r="CY19" s="113">
        <v>-4.65911507E-5</v>
      </c>
      <c r="CZ19" s="113">
        <v>-0.42565189399999998</v>
      </c>
      <c r="DA19" s="423">
        <v>803.080243</v>
      </c>
      <c r="DB19" s="422"/>
      <c r="DC19" s="113">
        <v>-2.9798868199999999E-5</v>
      </c>
      <c r="DD19" s="113">
        <v>2.1873076800000002E-3</v>
      </c>
      <c r="DE19" s="113">
        <v>-0.104642023</v>
      </c>
      <c r="DF19" s="113">
        <v>-4.1466013300000002</v>
      </c>
      <c r="DG19" s="114">
        <v>312.66762299999999</v>
      </c>
      <c r="DH19" s="378"/>
      <c r="DI19" s="126">
        <v>8.1374497199999994E-9</v>
      </c>
      <c r="DJ19" s="120">
        <v>-6.8757718999999996E-6</v>
      </c>
      <c r="DK19" s="120">
        <v>2.3181164000000001E-2</v>
      </c>
      <c r="DL19" s="114">
        <v>5.6519148399999999</v>
      </c>
      <c r="DM19" s="113">
        <v>2.2587518700000001E-4</v>
      </c>
      <c r="DN19" s="113">
        <v>-0.452402839</v>
      </c>
      <c r="DO19" s="423">
        <v>962.55743900000004</v>
      </c>
      <c r="DP19" s="422"/>
      <c r="DQ19" s="113">
        <v>5.3492566500000002E-5</v>
      </c>
      <c r="DR19" s="113">
        <v>-4.1554349300000001E-3</v>
      </c>
      <c r="DS19" s="113">
        <v>5.3769846400000001E-2</v>
      </c>
      <c r="DT19" s="113">
        <v>-6.0395935100000004</v>
      </c>
      <c r="DU19" s="114">
        <v>254.18655100000001</v>
      </c>
      <c r="DV19" s="378"/>
      <c r="DW19" s="126">
        <v>-1.4980762600000001E-7</v>
      </c>
      <c r="DX19" s="120">
        <v>6.1215801E-5</v>
      </c>
      <c r="DY19" s="120">
        <v>9.0872636600000008E-3</v>
      </c>
      <c r="DZ19" s="114">
        <v>4.9337406699999997</v>
      </c>
      <c r="EA19" s="113">
        <v>2.8153850699999999E-4</v>
      </c>
      <c r="EB19" s="113">
        <v>-0.58074918900000005</v>
      </c>
      <c r="EC19" s="423">
        <v>859.41590199999996</v>
      </c>
      <c r="ED19" s="351"/>
      <c r="EE19" s="351"/>
      <c r="EF19" s="351"/>
      <c r="EG19" s="351"/>
      <c r="EH19" s="351"/>
      <c r="EI19" s="352"/>
      <c r="EJ19" s="350"/>
      <c r="EK19" s="351"/>
      <c r="EL19" s="351"/>
      <c r="EM19" s="351"/>
      <c r="EN19" s="352"/>
      <c r="EO19" s="414"/>
      <c r="EP19" s="414"/>
      <c r="EQ19" s="414"/>
      <c r="ER19" s="137">
        <v>43</v>
      </c>
      <c r="ES19" s="365"/>
      <c r="ET19" s="137">
        <v>43</v>
      </c>
      <c r="EU19" s="360"/>
      <c r="EV19" s="365"/>
      <c r="EW19" s="366"/>
      <c r="EX19" s="366"/>
      <c r="EY19" s="367"/>
      <c r="EZ19" s="137">
        <f>IF($BK$17="11",FA19,IF($BK$17="21",FA19,IF($BK$17="12",FC19,IF($BK$17="22",FC19,IF($BK$17="13",FD19,IF($BK$17="23",FD19,IF($BK$17="14",FB19,IF($BK$17="24",FB19,IF($BK$17="31",FE19,IF($BK$17="41",FE19,IF($BK$17="32",FG19,IF($BK$17="42",FG19,IF($BK$17="33",FH19,IF($BK$17="43",FH19,IF($BK$17="34",FF19,IF($BK$17="44",FF19,))))))))))))))))</f>
        <v>17.5</v>
      </c>
      <c r="FA19" s="143">
        <f>Tavg_cold</f>
        <v>17</v>
      </c>
      <c r="FB19" s="143">
        <f>IF($GC19&lt;=$FC19,$FC19,IF($FM19&lt;=$FP19,$FC19,$FZ19))</f>
        <v>17.5</v>
      </c>
      <c r="FC19" s="143">
        <f>IF($N19&gt;$FN19,Tavg_cold+(0.5*(Tr_cool-Tavg_cold)),Tavg_cold+($FJ19*(Tr_cool-Tavg_cold)))</f>
        <v>17.5</v>
      </c>
      <c r="FD19" s="357"/>
      <c r="FE19" s="351"/>
      <c r="FF19" s="351"/>
      <c r="FG19" s="351"/>
      <c r="FH19" s="352"/>
      <c r="FJ19" s="344">
        <f>0.5*(1-((FN19-N19)/FN19))</f>
        <v>0.5</v>
      </c>
      <c r="FK19" s="241">
        <f>(0.025*Tl_cool)+0.5</f>
        <v>1.175</v>
      </c>
      <c r="FL19" s="372"/>
      <c r="FM19" s="230">
        <f>FQ19/FO19</f>
        <v>0.55555555555555558</v>
      </c>
      <c r="FN19" s="226">
        <f>DU19</f>
        <v>254.18655100000001</v>
      </c>
      <c r="FO19" s="226">
        <f>FN19*1.8</f>
        <v>457.53579180000003</v>
      </c>
      <c r="FP19" s="222">
        <f>FN19/FO19</f>
        <v>0.55555555555555558</v>
      </c>
      <c r="FQ19" s="238">
        <f>N19/Cubics</f>
        <v>254.18655100000001</v>
      </c>
      <c r="FR19" s="241">
        <f>IF(FQ19-(FP19*FO19)&lt;=0,0,FQ19-(FP19*FO19))</f>
        <v>0</v>
      </c>
      <c r="FS19" s="242">
        <f>FO19*(1-FP19)</f>
        <v>203.34924079999999</v>
      </c>
      <c r="FT19" s="248">
        <f>IF((FR19/FS19)&gt;1,1,FR19/FS19)</f>
        <v>0</v>
      </c>
      <c r="FU19" s="224">
        <f>FC19</f>
        <v>17.5</v>
      </c>
      <c r="FV19" s="219">
        <f>Tr_cool*FK19</f>
        <v>21.150000000000002</v>
      </c>
      <c r="FW19" s="224">
        <f>ABS(FV19-FU19)</f>
        <v>3.6500000000000021</v>
      </c>
      <c r="FX19" s="371"/>
      <c r="FY19" s="371"/>
      <c r="FZ19" s="224">
        <f>IF(FM19&lt;=FP19,FU19,FU19+(FT19*FW19))</f>
        <v>17.5</v>
      </c>
      <c r="GA19" s="371"/>
      <c r="GC19" s="161">
        <f>(237.3*LN((RH*EXP(17.27*(Tl_cool/(Tl_cool+237.3))))))/(17.27-LN((RH*EXP(17.27*(Tl_cool/(Tl_cool+237.3))))))</f>
        <v>15.69066559142683</v>
      </c>
      <c r="GE19" s="259">
        <f>(H19-G19)/H19</f>
        <v>0</v>
      </c>
      <c r="GG19" s="305">
        <f>(611*EXP(17.27*(Tl_heat/(Tl_heat+237.7))))</f>
        <v>2334.1781978570243</v>
      </c>
      <c r="GH19" s="305">
        <f>(611*EXP(17.27*((($P19-Celc2)/Celc1)/((($P19-Celc2)/Celc1)+237.7))))</f>
        <v>16460.559188165767</v>
      </c>
      <c r="GI19" s="305">
        <f>RH*$GG19</f>
        <v>1167.0890989285122</v>
      </c>
      <c r="GJ19" s="305">
        <f>(GL19*p_atm)/(GL19+0.622)</f>
        <v>1167.0890989285119</v>
      </c>
      <c r="GK19" s="305">
        <f>0.622*($GI19/(p_atm-$GI19))</f>
        <v>7.2478490515896785E-3</v>
      </c>
      <c r="GL19" s="305">
        <f t="shared" ref="GL19:GL62" si="15">GK19</f>
        <v>7.2478490515896785E-3</v>
      </c>
      <c r="GM19" s="305">
        <f>(1.005*Tl_heat)+($GK19*(2500+(1.87*Tl_heat)))</f>
        <v>38.490692183503647</v>
      </c>
      <c r="GN19" s="305">
        <f>(1.005*(($P19-Celc2)/Celc1))+($GL19*(2500+(1.87*(($P19-Celc2)/Celc1))))</f>
        <v>75.174490352958571</v>
      </c>
      <c r="GO19" s="306">
        <f t="shared" ref="GO19:GO62" si="16">GJ19/GH19</f>
        <v>7.090215378391182E-2</v>
      </c>
      <c r="GQ19" s="305">
        <f>(611*EXP(17.27*(Tl_cool/(Tl_cool+237.7))))</f>
        <v>3557.0118570174286</v>
      </c>
      <c r="GR19" s="305">
        <f>(611*EXP(17.27*((($R19-Celc2)/Celc1)/((($R19-Celc2)/Celc1)+237.7))))</f>
        <v>2234.8644880553561</v>
      </c>
      <c r="GS19" s="305">
        <f>RH*$GQ19</f>
        <v>1778.5059285087143</v>
      </c>
      <c r="GT19" s="305">
        <f>(GW19*p_atm)/(GW19+0.622)</f>
        <v>1778.5059285087143</v>
      </c>
      <c r="GU19" s="305">
        <f>T19*GR19</f>
        <v>1778.5059285087143</v>
      </c>
      <c r="GV19" s="307">
        <f>0.622*($GS19/(p_atm-$GS19))</f>
        <v>1.1112703645172665E-2</v>
      </c>
      <c r="GW19" s="307">
        <f>IF(H19=G19,GV19,(0.53475935828878*($GZ19-(1.005*(($R19-Celc2)/Celc1))))/(1336.8983957219))</f>
        <v>1.1112703645172665E-2</v>
      </c>
      <c r="GX19" s="305">
        <f>0.622*($GU19/(p_atm-$GU19))</f>
        <v>1.1112703645172665E-2</v>
      </c>
      <c r="GY19" s="305">
        <f>(1.005*Tl_cool)+($GV19*(2500+(1.87*Tl_cool)))</f>
        <v>55.477839519976428</v>
      </c>
      <c r="GZ19" s="305">
        <f>GY19-((((H19-G19)/Watts)/1000)/(N19/$L$15))</f>
        <v>55.477839519976428</v>
      </c>
      <c r="HA19" s="305">
        <f>(1.005*(($R19-Celc2)/Celc1))+($GX19*(2500+(1.87*(($R19-Celc2)/Celc1))))</f>
        <v>47.577825037657689</v>
      </c>
      <c r="HB19" s="305">
        <f t="shared" ref="HB19:HB62" si="17">27.8*LN((GY19+36)/45.5)</f>
        <v>19.415087041495514</v>
      </c>
      <c r="HC19" s="305">
        <f t="shared" ref="HC19:HC62" si="18">27.8*LN((GZ19+36)/45.5)</f>
        <v>19.415087041495514</v>
      </c>
      <c r="HD19" s="679"/>
      <c r="HE19" s="57">
        <f t="shared" si="7"/>
        <v>254.18655100000001</v>
      </c>
      <c r="HF19" s="57">
        <f t="shared" si="8"/>
        <v>658.63965576729504</v>
      </c>
      <c r="HG19" s="525">
        <f t="shared" si="9"/>
        <v>17.5</v>
      </c>
      <c r="HH19" s="57">
        <f t="shared" si="10"/>
        <v>17.5</v>
      </c>
      <c r="HL19" s="344">
        <f>0.5*(1-((HP19-HE19)/HP19))</f>
        <v>0.5</v>
      </c>
      <c r="HM19" s="241">
        <f>(0.025*Tl_cool)+0.5</f>
        <v>1.175</v>
      </c>
      <c r="HN19" s="372"/>
      <c r="HO19" s="230">
        <f>HS19/HQ19</f>
        <v>0.55555555555555558</v>
      </c>
      <c r="HP19" s="226">
        <f>DU19</f>
        <v>254.18655100000001</v>
      </c>
      <c r="HQ19" s="226">
        <f t="shared" ref="HQ19:HQ22" si="19">HP19*1.8</f>
        <v>457.53579180000003</v>
      </c>
      <c r="HR19" s="222">
        <f>HP19/HQ19</f>
        <v>0.55555555555555558</v>
      </c>
      <c r="HS19" s="251">
        <f t="shared" si="11"/>
        <v>254.18655100000001</v>
      </c>
      <c r="HT19" s="241">
        <f>IF(HS19-(HR19*HQ19)&lt;=0,0,HS19-(HR19*HQ19))</f>
        <v>0</v>
      </c>
      <c r="HU19" s="242">
        <f>HQ19*(1-HR19)</f>
        <v>203.34924079999999</v>
      </c>
      <c r="HV19" s="248">
        <f>IF((HT19/HU19)&gt;1,1,HT19/HU19)</f>
        <v>0</v>
      </c>
      <c r="HW19" s="224">
        <f t="shared" si="12"/>
        <v>17.5</v>
      </c>
      <c r="HX19" s="219">
        <f>Tr_cool*HM19</f>
        <v>21.150000000000002</v>
      </c>
      <c r="HY19" s="224">
        <f>ABS(HX19-HW19)</f>
        <v>3.6500000000000021</v>
      </c>
      <c r="HZ19" s="371"/>
      <c r="IA19" s="371"/>
      <c r="IB19" s="224">
        <f>IF(HO19&lt;=HR19,HW19,HW19+(HV19*HY19))</f>
        <v>17.5</v>
      </c>
      <c r="IC19" s="371"/>
      <c r="IE19" s="161">
        <f>(237.3*LN((RH*EXP(17.27*(Tl_cool/(Tl_cool+237.3))))))/(17.27-LN((RH*EXP(17.27*(Tl_cool/(Tl_cool+237.3))))))</f>
        <v>15.69066559142683</v>
      </c>
      <c r="IG19" s="259" t="e">
        <f>(BG19-BF19)/BG19</f>
        <v>#DIV/0!</v>
      </c>
      <c r="II19" s="305">
        <f>(611*EXP(17.27*(Tl_heat/(Tl_heat+237.7))))</f>
        <v>2334.1781978570243</v>
      </c>
      <c r="IJ19" s="305">
        <f>(611*EXP(17.27*((($P19-Celc2)/Celc1)/((($P19-Celc2)/Celc1)+237.7))))</f>
        <v>16460.559188165767</v>
      </c>
    </row>
    <row r="20" spans="2:244" x14ac:dyDescent="0.25">
      <c r="B20" s="221">
        <v>0.6</v>
      </c>
      <c r="C20" s="30">
        <v>6</v>
      </c>
      <c r="D20" s="31">
        <f>IF(Geg_dP&lt;AB20,((($BK$18*($N20/Cubics)^4+$BK$19*($N20/Cubics)^3+$BK$20*($N20/Cubics)^2+$BK$21*($N20/Cubics)^1+$BK$22)*((CF_Regime_Heat_noExp)^$AA20)))*CF_Addit*Watts*CF_Altit,Lim_dP)</f>
        <v>4070.8243954552063</v>
      </c>
      <c r="E20" s="30">
        <f>IF(Geg_dP&lt;$AB20,ROUND((($D20/Watts)/((Tv_heat-Tr_heat)*1.163))*FlowH2O,IF(UnitsNo=1,0,IF(UnitsNo=2,2))),"")</f>
        <v>350</v>
      </c>
      <c r="F20" s="79">
        <f>IF(Geg_dP&lt;$AB20,IF((($BM$18*(E20/FlowH2O)^$BM$19))*kPa&gt;0,(($BM$18*(E20/FlowH2O)^$BM$19))*kPa,0),"")</f>
        <v>2.7698601082163314</v>
      </c>
      <c r="G20" s="32">
        <f>IF(Geg_dP&lt;$AB20,((($BL$18*($N20/Cubics)^4+$BL$19*($N20/Cubics)^3+$BL$20*($N20/Cubics)^2+$BL$21*($N20/Cubics)^1+$BL$22)*((CF_Regime_Cool_noExp)^$Y20)))*CF_Addit*Watts*CF_Altit,Lim_dP)</f>
        <v>881.65158240137123</v>
      </c>
      <c r="H20" s="32">
        <f>IF(Geg_dP&lt;$AB20,((G20/Watts)/(IF((237.3*LN((RH*EXP(17.27*(Tl_cool/(Tl_cool+237.3))))))/(17.27-LN((RH*EXP(17.27*(Tl_cool/(Tl_cool+237.3))))))&lt;EZ20,1,IF(1/(1+((2258*((0.622/((101325/(1*611*EXP(17.27*(EZ20/(EZ20+237.3))))))-1)*1000-(0.622/((101325/(RH*611*EXP(17.27*(Tl_cool/(Tl_cool+237.3))))))-1)*1000))/(1005*(Tavg_cold-Tl_cool))))&gt;1,1,1/(1+((2258*((0.622/((101325/(1*611*EXP(17.27*(EZ20/(EZ20+237.3))))))-1)*1000-(0.622/((101325/(RH*611*EXP(17.27*(Tl_cool/(Tl_cool+237.3))))))-1)*1000))/(1005*(Tavg_cold-Tl_cool))))))))*Watts,"")</f>
        <v>881.65158240137123</v>
      </c>
      <c r="I20" s="30">
        <f>IF(Geg_dP&lt;AB20,ROUND(((H20/Watts)/((Tr_cool-Tv_cool)*1.163))*FlowH2O,IF(UnitsNo=1,0,IF(UnitsNo=2,2))),"")</f>
        <v>379</v>
      </c>
      <c r="J20" s="79">
        <f>IF(Geg_dP&lt;$AB20,IF((($BM$21*(I20/FlowH2O)^$BM$22))*kPa&gt;0,(($BM$21*(I20/FlowH2O)^$BM$22))*kPa,0),"")</f>
        <v>3.2061450575655126</v>
      </c>
      <c r="K20" s="78">
        <f>IF(Geg_dP&lt;AB20,IF($L20-8&lt;0,0,$L20-8),"")</f>
        <v>42.5</v>
      </c>
      <c r="L20" s="478">
        <f>IF(Geg_dP&lt;$AB20,IF(CalcNo="12",$ET20,IF(CalcNo="22",$ET20,IF(CalcNo="13",$EU20,IF(CalcNo="23",$EU20,IF(CalcNo="11",$ER20,IF(CalcNo="21",$ER20,IF(CalcNo="14",$ES20,IF(CalcNo="24",$ES20,IF(CalcNo="32",$EX20,IF(CalcNo="42",$EX20,IF(CalcNo="33",$EY20,IF(CalcNo="43",$EY20,IF(CalcNo="31",$EV20,IF(CalcNo="41",$EV20,IF(CalcNo="34",$EW20,IF(CalcNo="44",$EW20,)))))))))))))))),"")</f>
        <v>50.5</v>
      </c>
      <c r="M20" s="36">
        <f>IF(Geg_dP&lt;$AB20,($CF20*(($N20/Cubics)^4))+($CG20*(($N20/Cubics)^3))+($CH20*(($N20/Cubics)^2))+($CI20*($N20/Cubics))+$CJ20,"")</f>
        <v>17.200408392224332</v>
      </c>
      <c r="N20" s="197">
        <f>IF(Geg_dP&lt;$AB20,(BZ20*Geg_dP^5+CA20*Geg_dP^4+CB20*Geg_dP^3+CC20*Geg_dP^2+CD20*Geg_dP+CE20)*CF_Case*Cubics,"")</f>
        <v>354.98676399999999</v>
      </c>
      <c r="O20" s="479">
        <f>IF(Geg_dP&lt;$AB20,(($N20/Cubics)/3600)/(($BJ$23/100)*($BP$23/100))*FeetMins,"")</f>
        <v>0.81493747474747469</v>
      </c>
      <c r="P20" s="198">
        <f>IF(Geg_dP&lt;$AB20,((($D20/Watts)/(((p_atm*0.028964)/(8.31447*(20+273.15)))*(($N20/3600)/Cubics)*(1005+1870*((0.622)/(((p_atm)/($E$14*pvs_heat_in))-1)))))+Tl_heat)*Celc1+Celc2,"")</f>
        <v>53.660921135109952</v>
      </c>
      <c r="Q20" s="297">
        <f>IF(Geg_dP&lt;$AB20,(27.8*LN(($GN20+36)/45.5))*Celc1+Celc2,"")</f>
        <v>24.229915305750684</v>
      </c>
      <c r="R20" s="508">
        <f>IF(Geg_dP&lt;$AB20,(Tl_cool-(($G20/Watts)/(1006*$N20*kgss)))*Celc1+Celc2,"")</f>
        <v>19.618189975634486</v>
      </c>
      <c r="S20" s="36">
        <f>IF(Geg_dP&lt;$AB20,IF((27.8*LN(($HA20+36)/45.5))*Celc1+Celc2&gt;R20,R20,(27.8*LN(($HA20+36)/45.5))*Celc1+Celc2),"")</f>
        <v>17.013084915194781</v>
      </c>
      <c r="T20" s="299">
        <f>IF(Geg_dP&lt;$AB20,IF($H20&gt;$G20,1,IF(($GT20/$GR20)&lt;0,0,$GT20/$GR20)),"")</f>
        <v>0.78016511808757283</v>
      </c>
      <c r="U20" s="416">
        <f>IF(Geg_dP&lt;$AB20,$CK20*($N20/Cubics)^2+$CL20*($N20/Cubics)^1+$CM20,"")</f>
        <v>939.96169334158697</v>
      </c>
      <c r="V20" s="483">
        <f>M20/((N20/Cubics)/3.6)</f>
        <v>0.17443318030868216</v>
      </c>
      <c r="W20" s="513">
        <f>(G20/Watts)/(N20/Cubics)</f>
        <v>2.4836181847089129</v>
      </c>
      <c r="X20" s="56">
        <f t="shared" si="1"/>
        <v>1.0210600000000001</v>
      </c>
      <c r="Y20" s="56">
        <f t="shared" si="2"/>
        <v>1.1002799999999999</v>
      </c>
      <c r="Z20" s="56">
        <f t="shared" si="2"/>
        <v>1.13249</v>
      </c>
      <c r="AA20" s="56">
        <f t="shared" si="13"/>
        <v>1.0210600000000001</v>
      </c>
      <c r="AB20" s="56">
        <f t="shared" si="14"/>
        <v>64.62</v>
      </c>
      <c r="AC20" s="95">
        <v>1.0210600000000001</v>
      </c>
      <c r="AD20" s="95">
        <v>1.1002799999999999</v>
      </c>
      <c r="AE20" s="95">
        <v>1.13249</v>
      </c>
      <c r="AF20" s="96">
        <v>62</v>
      </c>
      <c r="AG20" s="95">
        <v>1.0210600000000001</v>
      </c>
      <c r="AH20" s="95">
        <v>1.1002799999999999</v>
      </c>
      <c r="AI20" s="95">
        <v>1.13249</v>
      </c>
      <c r="AJ20" s="486">
        <v>95</v>
      </c>
      <c r="AK20" s="487">
        <v>1.0210600000000001</v>
      </c>
      <c r="AL20" s="487">
        <v>1.1002799999999999</v>
      </c>
      <c r="AM20" s="487">
        <v>1.13249</v>
      </c>
      <c r="AN20" s="486">
        <v>64.62</v>
      </c>
      <c r="AO20" s="488"/>
      <c r="AP20" s="488"/>
      <c r="AQ20" s="488"/>
      <c r="AR20" s="488">
        <v>1000</v>
      </c>
      <c r="AS20" s="488"/>
      <c r="AT20" s="488"/>
      <c r="AU20" s="488"/>
      <c r="AV20" s="488">
        <v>1000</v>
      </c>
      <c r="AW20" s="488"/>
      <c r="AX20" s="488"/>
      <c r="AY20" s="488"/>
      <c r="AZ20" s="488">
        <v>1000</v>
      </c>
      <c r="BA20" s="97"/>
      <c r="BB20" s="97"/>
      <c r="BC20" s="97"/>
      <c r="BD20" s="97">
        <v>1000</v>
      </c>
      <c r="BE20" s="97"/>
      <c r="BF20" s="97"/>
      <c r="BG20" s="97"/>
      <c r="BH20" s="97">
        <v>1000</v>
      </c>
      <c r="BJ20" s="182"/>
      <c r="BK20" s="82">
        <f t="shared" ref="BK20:BM22" si="20">IF($BK$17="11",BN20,IF($BK$17="21",BQ20,IF($BK$17="12",BN20,IF($BK$17="22",BQ20,IF($BK$17="13",0,IF($BK$17="23",0,IF($BK$17="14",BN20,IF($BK$17="24",BQ20,IF($BK$17="31",BT20,IF($BK$17="41",BW20,IF($BK$17="32",BT20,IF($BK$17="42",BW20,IF($BK$17="33",BT20,IF($BK$17="43",BW20,IF($BK$17="34",BT20,IF($BK$17="44",BW20,))))))))))))))))</f>
        <v>-1.56502351E-2</v>
      </c>
      <c r="BL20" s="83">
        <f t="shared" si="20"/>
        <v>-1.7463508500000001E-3</v>
      </c>
      <c r="BM20" s="97"/>
      <c r="BN20" s="103">
        <v>-1.56502351E-2</v>
      </c>
      <c r="BO20" s="104">
        <v>-1.7463508500000001E-3</v>
      </c>
      <c r="BP20" s="97"/>
      <c r="BQ20" s="103">
        <v>-1.0364306000000001E-3</v>
      </c>
      <c r="BR20" s="104">
        <f>BO20</f>
        <v>-1.7463508500000001E-3</v>
      </c>
      <c r="BS20" s="97"/>
      <c r="BT20" s="97">
        <v>0</v>
      </c>
      <c r="BU20" s="97">
        <v>0</v>
      </c>
      <c r="BV20" s="97"/>
      <c r="BW20" s="97">
        <v>0</v>
      </c>
      <c r="BX20" s="97">
        <v>0</v>
      </c>
      <c r="BY20" s="97"/>
      <c r="BZ20" s="131">
        <f t="shared" si="4"/>
        <v>0</v>
      </c>
      <c r="CA20" s="132">
        <f t="shared" si="4"/>
        <v>-7.3460754299999997E-7</v>
      </c>
      <c r="CB20" s="132">
        <f t="shared" si="4"/>
        <v>7.1103670299999994E-5</v>
      </c>
      <c r="CC20" s="132">
        <f t="shared" si="4"/>
        <v>-2.2846154399999999E-2</v>
      </c>
      <c r="CD20" s="132">
        <f t="shared" si="4"/>
        <v>-3.80748811</v>
      </c>
      <c r="CE20" s="133">
        <f t="shared" si="4"/>
        <v>354.98676399999999</v>
      </c>
      <c r="CF20" s="131">
        <f t="shared" ref="CF20:CI22" si="21">IF($BK$17="11",CT20,IF($BK$17="21",CT20,IF($BK$17="12",DV20,IF($BK$17="22",DV20,IF($BK$17="13",EJ20,IF($BK$17="23",EJ20,IF($BK$17="14",DH20,IF($BK$17="24",DH20,IF($BK$17="31",0,IF($BK$17="41",0,IF($BK$17="32",0,IF($BK$17="42",0,IF($BK$17="33",0,IF($BK$17="43",0,IF($BK$17="34",DH20,IF($BK$17="44",DH20,))))))))))))))))</f>
        <v>0</v>
      </c>
      <c r="CG20" s="132">
        <f t="shared" si="21"/>
        <v>-1.20913463E-7</v>
      </c>
      <c r="CH20" s="132">
        <f t="shared" si="21"/>
        <v>6.8589579099999999E-5</v>
      </c>
      <c r="CI20" s="132">
        <f t="shared" si="21"/>
        <v>1.70008603E-2</v>
      </c>
      <c r="CJ20" s="132">
        <f t="shared" si="6"/>
        <v>7.9308981200000002</v>
      </c>
      <c r="CK20" s="131">
        <f t="shared" si="6"/>
        <v>2.85732059E-4</v>
      </c>
      <c r="CL20" s="132">
        <f t="shared" si="6"/>
        <v>-0.71825251000000001</v>
      </c>
      <c r="CM20" s="133">
        <f t="shared" si="6"/>
        <v>1158.9251300000001</v>
      </c>
      <c r="CN20" s="357"/>
      <c r="CO20" s="113">
        <v>1.33205463E-5</v>
      </c>
      <c r="CP20" s="113">
        <v>-1.75343457E-3</v>
      </c>
      <c r="CQ20" s="113">
        <v>5.4711796700000002E-2</v>
      </c>
      <c r="CR20" s="113">
        <v>-4.73480291</v>
      </c>
      <c r="CS20" s="116">
        <v>301.61972200000002</v>
      </c>
      <c r="CT20" s="357"/>
      <c r="CU20" s="115">
        <v>-1.7491992899999999E-7</v>
      </c>
      <c r="CV20" s="113">
        <v>8.7083665800000005E-5</v>
      </c>
      <c r="CW20" s="113">
        <v>1.53227764E-2</v>
      </c>
      <c r="CX20" s="116">
        <v>7.2205477499999997</v>
      </c>
      <c r="CY20" s="113">
        <v>1.9067304800000001E-4</v>
      </c>
      <c r="CZ20" s="113">
        <v>-0.63160191700000001</v>
      </c>
      <c r="DA20" s="423">
        <v>1119.09159</v>
      </c>
      <c r="DB20" s="422"/>
      <c r="DC20" s="113">
        <v>-2.4544425000000002E-7</v>
      </c>
      <c r="DD20" s="113">
        <v>1.6393707400000001E-5</v>
      </c>
      <c r="DE20" s="113">
        <v>-2.0300458E-2</v>
      </c>
      <c r="DF20" s="113">
        <v>-2.8010788299999998</v>
      </c>
      <c r="DG20" s="116">
        <v>464.177143</v>
      </c>
      <c r="DH20" s="378"/>
      <c r="DI20" s="126">
        <v>-3.9580938199999999E-8</v>
      </c>
      <c r="DJ20" s="120">
        <v>2.84559473E-5</v>
      </c>
      <c r="DK20" s="120">
        <v>3.7272287600000002E-2</v>
      </c>
      <c r="DL20" s="114">
        <v>11.785959200000001</v>
      </c>
      <c r="DM20" s="113">
        <v>1.8296729299999999E-4</v>
      </c>
      <c r="DN20" s="113">
        <v>-0.59281153600000003</v>
      </c>
      <c r="DO20" s="423">
        <v>1403.00739</v>
      </c>
      <c r="DP20" s="422"/>
      <c r="DQ20" s="113">
        <v>-7.3460754299999997E-7</v>
      </c>
      <c r="DR20" s="113">
        <v>7.1103670299999994E-5</v>
      </c>
      <c r="DS20" s="113">
        <v>-2.2846154399999999E-2</v>
      </c>
      <c r="DT20" s="113">
        <v>-3.80748811</v>
      </c>
      <c r="DU20" s="116">
        <v>354.98676399999999</v>
      </c>
      <c r="DV20" s="378"/>
      <c r="DW20" s="126">
        <v>-1.20913463E-7</v>
      </c>
      <c r="DX20" s="120">
        <v>6.8589579099999999E-5</v>
      </c>
      <c r="DY20" s="120">
        <v>1.70008603E-2</v>
      </c>
      <c r="DZ20" s="114">
        <v>7.9308981200000002</v>
      </c>
      <c r="EA20" s="113">
        <v>2.85732059E-4</v>
      </c>
      <c r="EB20" s="113">
        <v>-0.71825251000000001</v>
      </c>
      <c r="EC20" s="423">
        <v>1158.9251300000001</v>
      </c>
      <c r="ED20" s="351"/>
      <c r="EE20" s="351"/>
      <c r="EF20" s="351"/>
      <c r="EG20" s="351"/>
      <c r="EH20" s="351"/>
      <c r="EI20" s="352"/>
      <c r="EJ20" s="350"/>
      <c r="EK20" s="351"/>
      <c r="EL20" s="351"/>
      <c r="EM20" s="351"/>
      <c r="EN20" s="352"/>
      <c r="EO20" s="414"/>
      <c r="EP20" s="414"/>
      <c r="EQ20" s="414"/>
      <c r="ER20" s="137">
        <v>50.5</v>
      </c>
      <c r="ES20" s="441"/>
      <c r="ET20" s="137">
        <v>50.5</v>
      </c>
      <c r="EU20" s="360"/>
      <c r="EV20" s="365"/>
      <c r="EW20" s="366"/>
      <c r="EX20" s="366"/>
      <c r="EY20" s="367"/>
      <c r="EZ20" s="137">
        <f>IF($BK$17="11",FA20,IF($BK$17="21",FA20,IF($BK$17="12",FC20,IF($BK$17="22",FC20,IF($BK$17="13",FD20,IF($BK$17="23",FD20,IF($BK$17="14",FB20,IF($BK$17="24",FB20,IF($BK$17="31",FE20,IF($BK$17="41",FE20,IF($BK$17="32",FG20,IF($BK$17="42",FG20,IF($BK$17="33",FH20,IF($BK$17="43",FH20,IF($BK$17="34",FF20,IF($BK$17="44",FF20,))))))))))))))))</f>
        <v>17.5</v>
      </c>
      <c r="FA20" s="143">
        <f>Tavg_cold</f>
        <v>17</v>
      </c>
      <c r="FB20" s="143">
        <f>IF($GC20&lt;=$FC20,$FC20,IF($FM20&lt;=$FP20,$FC20,$FZ20))</f>
        <v>17.5</v>
      </c>
      <c r="FC20" s="143">
        <f>IF($N20&gt;$FN20,Tavg_cold+(0.5*(Tr_cool-Tavg_cold)),Tavg_cold+($FJ20*(Tr_cool-Tavg_cold)))</f>
        <v>17.5</v>
      </c>
      <c r="FD20" s="357"/>
      <c r="FE20" s="351"/>
      <c r="FF20" s="351"/>
      <c r="FG20" s="351"/>
      <c r="FH20" s="352"/>
      <c r="FJ20" s="344">
        <f>0.5*(1-((FN20-N20)/FN20))</f>
        <v>0.5</v>
      </c>
      <c r="FK20" s="241">
        <f>(0.025*Tl_cool)+0.5</f>
        <v>1.175</v>
      </c>
      <c r="FL20" s="372"/>
      <c r="FM20" s="230">
        <f>FQ20/FO20</f>
        <v>0.55555555555555547</v>
      </c>
      <c r="FN20" s="226">
        <f>DU20</f>
        <v>354.98676399999999</v>
      </c>
      <c r="FO20" s="226">
        <f>FN20*1.8</f>
        <v>638.97617520000006</v>
      </c>
      <c r="FP20" s="222">
        <f>FN20/FO20</f>
        <v>0.55555555555555547</v>
      </c>
      <c r="FQ20" s="238">
        <f>N20/Cubics</f>
        <v>354.98676399999999</v>
      </c>
      <c r="FR20" s="241">
        <f>IF(FQ20-(FP20*FO20)&lt;=0,0,FQ20-(FP20*FO20))</f>
        <v>0</v>
      </c>
      <c r="FS20" s="242">
        <f>FO20*(1-FP20)</f>
        <v>283.98941120000006</v>
      </c>
      <c r="FT20" s="248">
        <f>IF((FR20/FS20)&gt;1,1,FR20/FS20)</f>
        <v>0</v>
      </c>
      <c r="FU20" s="224">
        <f>FC20</f>
        <v>17.5</v>
      </c>
      <c r="FV20" s="219">
        <f>Tr_cool*FK20</f>
        <v>21.150000000000002</v>
      </c>
      <c r="FW20" s="224">
        <f>ABS(FV20-FU20)</f>
        <v>3.6500000000000021</v>
      </c>
      <c r="FX20" s="371"/>
      <c r="FY20" s="371"/>
      <c r="FZ20" s="224">
        <f>IF(FM20&lt;=FP20,FU20,FU20+(FT20*FW20))</f>
        <v>17.5</v>
      </c>
      <c r="GA20" s="371"/>
      <c r="GC20" s="161">
        <f>(237.3*LN((RH*EXP(17.27*(Tl_cool/(Tl_cool+237.3))))))/(17.27-LN((RH*EXP(17.27*(Tl_cool/(Tl_cool+237.3))))))</f>
        <v>15.69066559142683</v>
      </c>
      <c r="GE20" s="259">
        <f>(H20-G20)/H20</f>
        <v>0</v>
      </c>
      <c r="GG20" s="305">
        <f>(611*EXP(17.27*(Tl_heat/(Tl_heat+237.7))))</f>
        <v>2334.1781978570243</v>
      </c>
      <c r="GH20" s="305">
        <f>(611*EXP(17.27*((($P20-Celc2)/Celc1)/((($P20-Celc2)/Celc1)+237.7))))</f>
        <v>14702.47262541867</v>
      </c>
      <c r="GI20" s="305">
        <f>RH*$GG20</f>
        <v>1167.0890989285122</v>
      </c>
      <c r="GJ20" s="305">
        <f>(GL20*p_atm)/(GL20+0.622)</f>
        <v>1167.0890989285119</v>
      </c>
      <c r="GK20" s="305">
        <f>0.622*($GI20/(p_atm-$GI20))</f>
        <v>7.2478490515896785E-3</v>
      </c>
      <c r="GL20" s="305">
        <f t="shared" si="15"/>
        <v>7.2478490515896785E-3</v>
      </c>
      <c r="GM20" s="305">
        <f>(1.005*Tl_heat)+($GK20*(2500+(1.87*Tl_heat)))</f>
        <v>38.490692183503647</v>
      </c>
      <c r="GN20" s="305">
        <f>(1.005*(($P20-Celc2)/Celc1))+($GL20*(2500+(1.87*(($P20-Celc2)/Celc1))))</f>
        <v>72.776140469146412</v>
      </c>
      <c r="GO20" s="306">
        <f t="shared" si="16"/>
        <v>7.9380463998332235E-2</v>
      </c>
      <c r="GQ20" s="305">
        <f>(611*EXP(17.27*(Tl_cool/(Tl_cool+237.7))))</f>
        <v>3557.0118570174286</v>
      </c>
      <c r="GR20" s="305">
        <f>(611*EXP(17.27*((($R20-Celc2)/Celc1)/((($R20-Celc2)/Celc1)+237.7))))</f>
        <v>2279.6532263175072</v>
      </c>
      <c r="GS20" s="305">
        <f>RH*$GQ20</f>
        <v>1778.5059285087143</v>
      </c>
      <c r="GT20" s="305">
        <f>(GW20*p_atm)/(GW20+0.622)</f>
        <v>1778.5059285087143</v>
      </c>
      <c r="GU20" s="305">
        <f>T20*GR20</f>
        <v>1778.5059285087143</v>
      </c>
      <c r="GV20" s="307">
        <f>0.622*($GS20/(p_atm-$GS20))</f>
        <v>1.1112703645172665E-2</v>
      </c>
      <c r="GW20" s="307">
        <f>IF(H20=G20,GV20,(0.53475935828878*($GZ20-(1.005*(($R20-Celc2)/Celc1))))/(1336.8983957219))</f>
        <v>1.1112703645172665E-2</v>
      </c>
      <c r="GX20" s="305">
        <f>0.622*($GU20/(p_atm-$GU20))</f>
        <v>1.1112703645172665E-2</v>
      </c>
      <c r="GY20" s="305">
        <f>(1.005*Tl_cool)+($GV20*(2500+(1.87*Tl_cool)))</f>
        <v>55.477839519976428</v>
      </c>
      <c r="GZ20" s="305">
        <f>GY20-((((H20-G20)/Watts)/1000)/(N20/$L$15))</f>
        <v>55.477839519976428</v>
      </c>
      <c r="HA20" s="305">
        <f>(1.005*(($R20-Celc2)/Celc1))+($GX20*(2500+(1.87*(($R20-Celc2)/Celc1))))</f>
        <v>47.90572085388915</v>
      </c>
      <c r="HB20" s="305">
        <f t="shared" si="17"/>
        <v>19.415087041495514</v>
      </c>
      <c r="HC20" s="305">
        <f t="shared" si="18"/>
        <v>19.415087041495514</v>
      </c>
      <c r="HD20" s="679"/>
      <c r="HE20" s="57">
        <f t="shared" si="7"/>
        <v>354.98676399999999</v>
      </c>
      <c r="HF20" s="57">
        <f t="shared" si="8"/>
        <v>881.65158240137123</v>
      </c>
      <c r="HG20" s="525">
        <f t="shared" si="9"/>
        <v>17.5</v>
      </c>
      <c r="HH20" s="57">
        <f t="shared" si="10"/>
        <v>17.5</v>
      </c>
      <c r="HL20" s="344">
        <f>0.5*(1-((HP20-HE20)/HP20))</f>
        <v>0.5</v>
      </c>
      <c r="HM20" s="241">
        <f>(0.025*Tl_cool)+0.5</f>
        <v>1.175</v>
      </c>
      <c r="HN20" s="372"/>
      <c r="HO20" s="230">
        <f>HS20/HQ20</f>
        <v>0.55555555555555547</v>
      </c>
      <c r="HP20" s="226">
        <f>DU20</f>
        <v>354.98676399999999</v>
      </c>
      <c r="HQ20" s="226">
        <f t="shared" si="19"/>
        <v>638.97617520000006</v>
      </c>
      <c r="HR20" s="222">
        <f>HP20/HQ20</f>
        <v>0.55555555555555547</v>
      </c>
      <c r="HS20" s="251">
        <f t="shared" si="11"/>
        <v>354.98676399999999</v>
      </c>
      <c r="HT20" s="241">
        <f>IF(HS20-(HR20*HQ20)&lt;=0,0,HS20-(HR20*HQ20))</f>
        <v>0</v>
      </c>
      <c r="HU20" s="242">
        <f>HQ20*(1-HR20)</f>
        <v>283.98941120000006</v>
      </c>
      <c r="HV20" s="248">
        <f>IF((HT20/HU20)&gt;1,1,HT20/HU20)</f>
        <v>0</v>
      </c>
      <c r="HW20" s="224">
        <f t="shared" si="12"/>
        <v>17.5</v>
      </c>
      <c r="HX20" s="219">
        <f>Tr_cool*HM20</f>
        <v>21.150000000000002</v>
      </c>
      <c r="HY20" s="224">
        <f>ABS(HX20-HW20)</f>
        <v>3.6500000000000021</v>
      </c>
      <c r="HZ20" s="371"/>
      <c r="IA20" s="371"/>
      <c r="IB20" s="224">
        <f>IF(HO20&lt;=HR20,HW20,HW20+(HV20*HY20))</f>
        <v>17.5</v>
      </c>
      <c r="IC20" s="371"/>
      <c r="IE20" s="161">
        <f>(237.3*LN((RH*EXP(17.27*(Tl_cool/(Tl_cool+237.3))))))/(17.27-LN((RH*EXP(17.27*(Tl_cool/(Tl_cool+237.3))))))</f>
        <v>15.69066559142683</v>
      </c>
      <c r="IG20" s="259" t="e">
        <f>(BG20-BF20)/BG20</f>
        <v>#DIV/0!</v>
      </c>
      <c r="II20" s="305">
        <f>(611*EXP(17.27*(Tl_heat/(Tl_heat+237.7))))</f>
        <v>2334.1781978570243</v>
      </c>
      <c r="IJ20" s="305">
        <f>(611*EXP(17.27*((($P20-Celc2)/Celc1)/((($P20-Celc2)/Celc1)+237.7))))</f>
        <v>14702.47262541867</v>
      </c>
    </row>
    <row r="21" spans="2:244" x14ac:dyDescent="0.25">
      <c r="B21" s="221">
        <v>0.8</v>
      </c>
      <c r="C21" s="30">
        <v>8</v>
      </c>
      <c r="D21" s="31">
        <f>IF(Geg_dP&lt;AB21,((($BK$18*($N21/Cubics)^4+$BK$19*($N21/Cubics)^3+$BK$20*($N21/Cubics)^2+$BK$21*($N21/Cubics)^1+$BK$22)*((CF_Regime_Heat_noExp)^$AA21)))*CF_Addit*Watts*CF_Altit,Lim_dP)</f>
        <v>4970.6305397720416</v>
      </c>
      <c r="E21" s="30">
        <f>IF(Geg_dP&lt;$AB21,ROUND((($D21/Watts)/((Tv_heat-Tr_heat)*1.163))*FlowH2O,IF(UnitsNo=1,0,IF(UnitsNo=2,2))),"")</f>
        <v>427</v>
      </c>
      <c r="F21" s="79">
        <f>IF(Geg_dP&lt;$AB21,IF((($BM$18*(E21/FlowH2O)^$BM$19))*kPa&gt;0,(($BM$18*(E21/FlowH2O)^$BM$19))*kPa,0),"")</f>
        <v>3.9915912378970946</v>
      </c>
      <c r="G21" s="32">
        <f>IF(Geg_dP&lt;$AB21,((($BL$18*($N21/Cubics)^4+$BL$19*($N21/Cubics)^3+$BL$20*($N21/Cubics)^2+$BL$21*($N21/Cubics)^1+$BL$22)*((CF_Regime_Cool_noExp)^$Y21)))*CF_Addit*Watts*CF_Altit,Lim_dP)</f>
        <v>1074.5779201926093</v>
      </c>
      <c r="H21" s="32">
        <f>IF(Geg_dP&lt;$AB21,((G21/Watts)/(IF((237.3*LN((RH*EXP(17.27*(Tl_cool/(Tl_cool+237.3))))))/(17.27-LN((RH*EXP(17.27*(Tl_cool/(Tl_cool+237.3))))))&lt;EZ21,1,IF(1/(1+((2258*((0.622/((101325/(1*611*EXP(17.27*(EZ21/(EZ21+237.3))))))-1)*1000-(0.622/((101325/(RH*611*EXP(17.27*(Tl_cool/(Tl_cool+237.3))))))-1)*1000))/(1005*(Tavg_cold-Tl_cool))))&gt;1,1,1/(1+((2258*((0.622/((101325/(1*611*EXP(17.27*(EZ21/(EZ21+237.3))))))-1)*1000-(0.622/((101325/(RH*611*EXP(17.27*(Tl_cool/(Tl_cool+237.3))))))-1)*1000))/(1005*(Tavg_cold-Tl_cool))))))))*Watts,"")</f>
        <v>1074.5779201926093</v>
      </c>
      <c r="I21" s="30">
        <f>IF(Geg_dP&lt;AB21,ROUND(((H21/Watts)/((Tr_cool-Tv_cool)*1.163))*FlowH2O,IF(UnitsNo=1,0,IF(UnitsNo=2,2))),"")</f>
        <v>462</v>
      </c>
      <c r="J21" s="79">
        <f>IF(Geg_dP&lt;$AB21,IF((($BM$21*(I21/FlowH2O)^$BM$22))*kPa&gt;0,(($BM$21*(I21/FlowH2O)^$BM$22))*kPa,0),"")</f>
        <v>4.6133380246601501</v>
      </c>
      <c r="K21" s="78">
        <f>IF(Geg_dP&lt;AB21,IF($L21-8&lt;0,0,$L21-8),"")</f>
        <v>46.5</v>
      </c>
      <c r="L21" s="478">
        <f>IF(Geg_dP&lt;$AB21,IF(CalcNo="12",$ET21,IF(CalcNo="22",$ET21,IF(CalcNo="13",$EU21,IF(CalcNo="23",$EU21,IF(CalcNo="11",$ER21,IF(CalcNo="21",$ER21,IF(CalcNo="14",$ES21,IF(CalcNo="24",$ES21,IF(CalcNo="32",$EX21,IF(CalcNo="42",$EX21,IF(CalcNo="33",$EY21,IF(CalcNo="43",$EY21,IF(CalcNo="31",$EV21,IF(CalcNo="41",$EV21,IF(CalcNo="34",$EW21,IF(CalcNo="44",$EW21,)))))))))))))))),"")</f>
        <v>54.5</v>
      </c>
      <c r="M21" s="36">
        <f>IF(Geg_dP&lt;$AB21,($CF21*(($N21/Cubics)^4))+($CG21*(($N21/Cubics)^3))+($CH21*(($N21/Cubics)^2))+($CI21*($N21/Cubics))+$CJ21,"")</f>
        <v>31.135831156450219</v>
      </c>
      <c r="N21" s="197">
        <f>IF(Geg_dP&lt;$AB21,(BZ21*Geg_dP^5+CA21*Geg_dP^4+CB21*Geg_dP^3+CC21*Geg_dP^2+CD21*Geg_dP+CE21)*CF_Case*Cubics,"")</f>
        <v>450.174779</v>
      </c>
      <c r="O21" s="479">
        <f>IF(Geg_dP&lt;$AB21,(($N21/Cubics)/3600)/(($BJ$23/100)*($BP$23/100))*FeetMins,"")</f>
        <v>1.0334590886134067</v>
      </c>
      <c r="P21" s="198">
        <f>IF(Geg_dP&lt;$AB21,((($D21/Watts)/(((p_atm*0.028964)/(8.31447*(20+273.15)))*(($N21/3600)/Cubics)*(1005+1870*((0.622)/(((p_atm)/($E$14*pvs_heat_in))-1)))))+Tl_heat)*Celc1+Celc2,"")</f>
        <v>52.410528428689027</v>
      </c>
      <c r="Q21" s="297">
        <f>IF(Geg_dP&lt;$AB21,(27.8*LN(($GN21+36)/45.5))*Celc1+Celc2,"")</f>
        <v>23.902501980410001</v>
      </c>
      <c r="R21" s="508">
        <f>IF(Geg_dP&lt;$AB21,(Tl_cool-(($G21/Watts)/(1006*$N21*kgss)))*Celc1+Celc2,"")</f>
        <v>19.905287751520465</v>
      </c>
      <c r="S21" s="36">
        <f>IF(Geg_dP&lt;$AB21,IF((27.8*LN(($HA21+36)/45.5))*Celc1+Celc2&gt;R21,R21,(27.8*LN(($HA21+36)/45.5))*Celc1+Celc2),"")</f>
        <v>17.110488860674693</v>
      </c>
      <c r="T21" s="299">
        <f>IF(Geg_dP&lt;$AB21,IF($H21&gt;$G21,1,IF(($GT21/$GR21)&lt;0,0,$GT21/$GR21)),"")</f>
        <v>0.76641654876715748</v>
      </c>
      <c r="U21" s="416">
        <f>IF(Geg_dP&lt;$AB21,$CK21*($N21/Cubics)^2+$CL21*($N21/Cubics)^1+$CM21,"")</f>
        <v>1142.7603685578915</v>
      </c>
      <c r="V21" s="483">
        <f>M21/((N21/Cubics)/3.6)</f>
        <v>0.24898994211139669</v>
      </c>
      <c r="W21" s="513">
        <f>(G21/Watts)/(N21/Cubics)</f>
        <v>2.3870238190145461</v>
      </c>
      <c r="X21" s="56">
        <f t="shared" si="1"/>
        <v>1.0210600000000001</v>
      </c>
      <c r="Y21" s="56">
        <f t="shared" si="2"/>
        <v>1.1002799999999999</v>
      </c>
      <c r="Z21" s="56">
        <f t="shared" si="2"/>
        <v>1.13249</v>
      </c>
      <c r="AA21" s="56">
        <f t="shared" si="13"/>
        <v>1.0210600000000001</v>
      </c>
      <c r="AB21" s="56">
        <f t="shared" si="14"/>
        <v>106.76</v>
      </c>
      <c r="AC21" s="95">
        <v>1.0210600000000001</v>
      </c>
      <c r="AD21" s="95">
        <v>1.1002799999999999</v>
      </c>
      <c r="AE21" s="95">
        <v>1.13249</v>
      </c>
      <c r="AF21" s="96">
        <v>104</v>
      </c>
      <c r="AG21" s="95">
        <v>1.0210600000000001</v>
      </c>
      <c r="AH21" s="95">
        <v>1.1002799999999999</v>
      </c>
      <c r="AI21" s="95">
        <v>1.13249</v>
      </c>
      <c r="AJ21" s="486">
        <v>158</v>
      </c>
      <c r="AK21" s="487">
        <v>1.0210600000000001</v>
      </c>
      <c r="AL21" s="487">
        <v>1.1002799999999999</v>
      </c>
      <c r="AM21" s="487">
        <v>1.13249</v>
      </c>
      <c r="AN21" s="486">
        <v>106.76</v>
      </c>
      <c r="AO21" s="488"/>
      <c r="AP21" s="488"/>
      <c r="AQ21" s="488"/>
      <c r="AR21" s="488">
        <v>1000</v>
      </c>
      <c r="AS21" s="488"/>
      <c r="AT21" s="488"/>
      <c r="AU21" s="488"/>
      <c r="AV21" s="488">
        <v>1000</v>
      </c>
      <c r="AW21" s="488"/>
      <c r="AX21" s="488"/>
      <c r="AY21" s="488"/>
      <c r="AZ21" s="488">
        <v>1000</v>
      </c>
      <c r="BA21" s="97"/>
      <c r="BB21" s="97"/>
      <c r="BC21" s="97"/>
      <c r="BD21" s="97">
        <v>1000</v>
      </c>
      <c r="BE21" s="97"/>
      <c r="BF21" s="97"/>
      <c r="BG21" s="97"/>
      <c r="BH21" s="97">
        <v>1000</v>
      </c>
      <c r="BJ21" s="182"/>
      <c r="BK21" s="82">
        <f t="shared" si="20"/>
        <v>10.6328192</v>
      </c>
      <c r="BL21" s="83">
        <f t="shared" si="20"/>
        <v>5.1432327200000003</v>
      </c>
      <c r="BM21" s="83">
        <f t="shared" si="20"/>
        <v>5.856967585387631E-5</v>
      </c>
      <c r="BN21" s="103">
        <v>10.6328192</v>
      </c>
      <c r="BO21" s="104">
        <v>5.1432327200000003</v>
      </c>
      <c r="BP21" s="105">
        <v>5.856967585387631E-5</v>
      </c>
      <c r="BQ21" s="103">
        <v>2.1452180099999998</v>
      </c>
      <c r="BR21" s="104">
        <f t="shared" ref="BR21:BR22" si="22">BO21</f>
        <v>5.1432327200000003</v>
      </c>
      <c r="BS21" s="105">
        <f>BP21</f>
        <v>5.856967585387631E-5</v>
      </c>
      <c r="BT21" s="97">
        <v>0</v>
      </c>
      <c r="BU21" s="97">
        <v>0</v>
      </c>
      <c r="BV21" s="97">
        <v>0</v>
      </c>
      <c r="BW21" s="97">
        <v>0</v>
      </c>
      <c r="BX21" s="97">
        <v>0</v>
      </c>
      <c r="BY21" s="97">
        <v>0</v>
      </c>
      <c r="BZ21" s="131">
        <f t="shared" si="4"/>
        <v>0</v>
      </c>
      <c r="CA21" s="132">
        <f t="shared" si="4"/>
        <v>-6.5790037799999998E-7</v>
      </c>
      <c r="CB21" s="132">
        <f t="shared" si="4"/>
        <v>1.3499486699999999E-4</v>
      </c>
      <c r="CC21" s="132">
        <f t="shared" si="4"/>
        <v>-1.9074682799999999E-2</v>
      </c>
      <c r="CD21" s="132">
        <f t="shared" si="4"/>
        <v>-2.7752823100000001</v>
      </c>
      <c r="CE21" s="133">
        <f t="shared" si="4"/>
        <v>450.174779</v>
      </c>
      <c r="CF21" s="131">
        <f t="shared" si="21"/>
        <v>0</v>
      </c>
      <c r="CG21" s="132">
        <f t="shared" si="21"/>
        <v>-1.0108768E-7</v>
      </c>
      <c r="CH21" s="132">
        <f t="shared" si="21"/>
        <v>7.4335371700000002E-5</v>
      </c>
      <c r="CI21" s="132">
        <f t="shared" si="21"/>
        <v>2.7677880200000001E-2</v>
      </c>
      <c r="CJ21" s="132">
        <f t="shared" si="6"/>
        <v>12.8336918</v>
      </c>
      <c r="CK21" s="131">
        <f t="shared" si="6"/>
        <v>2.2050321900000001E-4</v>
      </c>
      <c r="CL21" s="132">
        <f t="shared" si="6"/>
        <v>-0.82575180299999995</v>
      </c>
      <c r="CM21" s="133">
        <f t="shared" si="6"/>
        <v>1469.8064099999999</v>
      </c>
      <c r="CN21" s="357"/>
      <c r="CO21" s="113">
        <v>-1.75002364E-6</v>
      </c>
      <c r="CP21" s="113">
        <v>3.5875384899999998E-4</v>
      </c>
      <c r="CQ21" s="113">
        <v>-3.0594376E-2</v>
      </c>
      <c r="CR21" s="113">
        <v>-2.5097771799999999</v>
      </c>
      <c r="CS21" s="116">
        <v>393.62354900000003</v>
      </c>
      <c r="CT21" s="357"/>
      <c r="CU21" s="115">
        <v>-1.6141271499999999E-7</v>
      </c>
      <c r="CV21" s="113">
        <v>1.0533878200000001E-4</v>
      </c>
      <c r="CW21" s="113">
        <v>2.2972702099999999E-2</v>
      </c>
      <c r="CX21" s="116">
        <v>11.968505800000001</v>
      </c>
      <c r="CY21" s="113">
        <v>1.2572751600000001E-4</v>
      </c>
      <c r="CZ21" s="113">
        <v>-0.73175242500000004</v>
      </c>
      <c r="DA21" s="423">
        <v>1430.2211</v>
      </c>
      <c r="DB21" s="422"/>
      <c r="DC21" s="113">
        <v>-1.13740268E-7</v>
      </c>
      <c r="DD21" s="113">
        <v>2.9860603899999999E-5</v>
      </c>
      <c r="DE21" s="113">
        <v>-1.16192424E-2</v>
      </c>
      <c r="DF21" s="113">
        <v>-2.1291447200000002</v>
      </c>
      <c r="DG21" s="116">
        <v>587.30399899999998</v>
      </c>
      <c r="DH21" s="378"/>
      <c r="DI21" s="126">
        <v>-4.5419008199999997E-8</v>
      </c>
      <c r="DJ21" s="120">
        <v>3.8803740200000002E-5</v>
      </c>
      <c r="DK21" s="120">
        <v>5.67992306E-2</v>
      </c>
      <c r="DL21" s="114">
        <v>20.634068299999999</v>
      </c>
      <c r="DM21" s="113">
        <v>1.16822567E-4</v>
      </c>
      <c r="DN21" s="113">
        <v>-0.69465042499999996</v>
      </c>
      <c r="DO21" s="423">
        <v>1792.42768</v>
      </c>
      <c r="DP21" s="422"/>
      <c r="DQ21" s="113">
        <v>-6.5790037799999998E-7</v>
      </c>
      <c r="DR21" s="113">
        <v>1.3499486699999999E-4</v>
      </c>
      <c r="DS21" s="113">
        <v>-1.9074682799999999E-2</v>
      </c>
      <c r="DT21" s="113">
        <v>-2.7752823100000001</v>
      </c>
      <c r="DU21" s="116">
        <v>450.174779</v>
      </c>
      <c r="DV21" s="378"/>
      <c r="DW21" s="126">
        <v>-1.0108768E-7</v>
      </c>
      <c r="DX21" s="120">
        <v>7.4335371700000002E-5</v>
      </c>
      <c r="DY21" s="120">
        <v>2.7677880200000001E-2</v>
      </c>
      <c r="DZ21" s="114">
        <v>12.8336918</v>
      </c>
      <c r="EA21" s="113">
        <v>2.2050321900000001E-4</v>
      </c>
      <c r="EB21" s="113">
        <v>-0.82575180299999995</v>
      </c>
      <c r="EC21" s="423">
        <v>1469.8064099999999</v>
      </c>
      <c r="ED21" s="351"/>
      <c r="EE21" s="351"/>
      <c r="EF21" s="351"/>
      <c r="EG21" s="351"/>
      <c r="EH21" s="351"/>
      <c r="EI21" s="352"/>
      <c r="EJ21" s="350"/>
      <c r="EK21" s="351"/>
      <c r="EL21" s="351"/>
      <c r="EM21" s="351"/>
      <c r="EN21" s="352"/>
      <c r="EO21" s="414"/>
      <c r="EP21" s="414"/>
      <c r="EQ21" s="414"/>
      <c r="ER21" s="137">
        <v>54.5</v>
      </c>
      <c r="ES21" s="365"/>
      <c r="ET21" s="137">
        <v>54.5</v>
      </c>
      <c r="EU21" s="360"/>
      <c r="EV21" s="365"/>
      <c r="EW21" s="366"/>
      <c r="EX21" s="366"/>
      <c r="EY21" s="367"/>
      <c r="EZ21" s="137">
        <f>IF($BK$17="11",FA21,IF($BK$17="21",FA21,IF($BK$17="12",FC21,IF($BK$17="22",FC21,IF($BK$17="13",FD21,IF($BK$17="23",FD21,IF($BK$17="14",FB21,IF($BK$17="24",FB21,IF($BK$17="31",FE21,IF($BK$17="41",FE21,IF($BK$17="32",FG21,IF($BK$17="42",FG21,IF($BK$17="33",FH21,IF($BK$17="43",FH21,IF($BK$17="34",FF21,IF($BK$17="44",FF21,))))))))))))))))</f>
        <v>17.5</v>
      </c>
      <c r="FA21" s="143">
        <f>Tavg_cold</f>
        <v>17</v>
      </c>
      <c r="FB21" s="143">
        <f>IF($GC21&lt;=$FC21,$FC21,IF($FM21&lt;=$FP21,$FC21,$FZ21))</f>
        <v>17.5</v>
      </c>
      <c r="FC21" s="143">
        <f>IF($N21&gt;$FN21,Tavg_cold+(0.5*(Tr_cool-Tavg_cold)),Tavg_cold+($FJ21*(Tr_cool-Tavg_cold)))</f>
        <v>17.5</v>
      </c>
      <c r="FD21" s="357"/>
      <c r="FE21" s="351"/>
      <c r="FF21" s="351"/>
      <c r="FG21" s="351"/>
      <c r="FH21" s="352"/>
      <c r="FJ21" s="344">
        <f>0.5*(1-((FN21-N21)/FN21))</f>
        <v>0.5</v>
      </c>
      <c r="FK21" s="241">
        <f>(0.025*Tl_cool)+0.5</f>
        <v>1.175</v>
      </c>
      <c r="FL21" s="372"/>
      <c r="FM21" s="230">
        <f>FQ21/FO21</f>
        <v>0.55555555555555558</v>
      </c>
      <c r="FN21" s="226">
        <f>DU21</f>
        <v>450.174779</v>
      </c>
      <c r="FO21" s="226">
        <f>FN21*1.8</f>
        <v>810.31460219999997</v>
      </c>
      <c r="FP21" s="222">
        <f>FN21/FO21</f>
        <v>0.55555555555555558</v>
      </c>
      <c r="FQ21" s="238">
        <f>N21/Cubics</f>
        <v>450.174779</v>
      </c>
      <c r="FR21" s="241">
        <f>IF(FQ21-(FP21*FO21)&lt;=0,0,FQ21-(FP21*FO21))</f>
        <v>0</v>
      </c>
      <c r="FS21" s="242">
        <f>FO21*(1-FP21)</f>
        <v>360.13982319999997</v>
      </c>
      <c r="FT21" s="248">
        <f>IF((FR21/FS21)&gt;1,1,FR21/FS21)</f>
        <v>0</v>
      </c>
      <c r="FU21" s="224">
        <f>FC21</f>
        <v>17.5</v>
      </c>
      <c r="FV21" s="219">
        <f>Tr_cool*FK21</f>
        <v>21.150000000000002</v>
      </c>
      <c r="FW21" s="224">
        <f>ABS(FV21-FU21)</f>
        <v>3.6500000000000021</v>
      </c>
      <c r="FX21" s="371"/>
      <c r="FY21" s="371"/>
      <c r="FZ21" s="224">
        <f>IF(FM21&lt;=FP21,FU21,FU21+(FT21*FW21))</f>
        <v>17.5</v>
      </c>
      <c r="GA21" s="371"/>
      <c r="GC21" s="161">
        <f>(237.3*LN((RH*EXP(17.27*(Tl_cool/(Tl_cool+237.3))))))/(17.27-LN((RH*EXP(17.27*(Tl_cool/(Tl_cool+237.3))))))</f>
        <v>15.69066559142683</v>
      </c>
      <c r="GE21" s="259">
        <f>(H21-G21)/H21</f>
        <v>0</v>
      </c>
      <c r="GG21" s="305">
        <f>(611*EXP(17.27*(Tl_heat/(Tl_heat+237.7))))</f>
        <v>2334.1781978570243</v>
      </c>
      <c r="GH21" s="305">
        <f>(611*EXP(17.27*((($P21-Celc2)/Celc1)/((($P21-Celc2)/Celc1)+237.7))))</f>
        <v>13836.221465208122</v>
      </c>
      <c r="GI21" s="305">
        <f>RH*$GG21</f>
        <v>1167.0890989285122</v>
      </c>
      <c r="GJ21" s="305">
        <f>(GL21*p_atm)/(GL21+0.622)</f>
        <v>1167.0890989285119</v>
      </c>
      <c r="GK21" s="305">
        <f>0.622*($GI21/(p_atm-$GI21))</f>
        <v>7.2478490515896785E-3</v>
      </c>
      <c r="GL21" s="305">
        <f t="shared" si="15"/>
        <v>7.2478490515896785E-3</v>
      </c>
      <c r="GM21" s="305">
        <f>(1.005*Tl_heat)+($GK21*(2500+(1.87*Tl_heat)))</f>
        <v>38.490692183503647</v>
      </c>
      <c r="GN21" s="305">
        <f>(1.005*(($P21-Celc2)/Celc1))+($GL21*(2500+(1.87*(($P21-Celc2)/Celc1))))</f>
        <v>71.502548629497568</v>
      </c>
      <c r="GO21" s="306">
        <f t="shared" si="16"/>
        <v>8.4350275966832158E-2</v>
      </c>
      <c r="GQ21" s="305">
        <f>(611*EXP(17.27*(Tl_cool/(Tl_cool+237.7))))</f>
        <v>3557.0118570174286</v>
      </c>
      <c r="GR21" s="305">
        <f>(611*EXP(17.27*((($R21-Celc2)/Celc1)/((($R21-Celc2)/Celc1)+237.7))))</f>
        <v>2320.5473986301363</v>
      </c>
      <c r="GS21" s="305">
        <f>RH*$GQ21</f>
        <v>1778.5059285087143</v>
      </c>
      <c r="GT21" s="305">
        <f>(GW21*p_atm)/(GW21+0.622)</f>
        <v>1778.5059285087143</v>
      </c>
      <c r="GU21" s="305">
        <f>T21*GR21</f>
        <v>1778.5059285087143</v>
      </c>
      <c r="GV21" s="307">
        <f>0.622*($GS21/(p_atm-$GS21))</f>
        <v>1.1112703645172665E-2</v>
      </c>
      <c r="GW21" s="307">
        <f>IF(H21=G21,GV21,(0.53475935828878*($GZ21-(1.005*(($R21-Celc2)/Celc1))))/(1336.8983957219))</f>
        <v>1.1112703645172665E-2</v>
      </c>
      <c r="GX21" s="305">
        <f>0.622*($GU21/(p_atm-$GU21))</f>
        <v>1.1112703645172665E-2</v>
      </c>
      <c r="GY21" s="305">
        <f>(1.005*Tl_cool)+($GV21*(2500+(1.87*Tl_cool)))</f>
        <v>55.477839519976428</v>
      </c>
      <c r="GZ21" s="305">
        <f>GY21-((((H21-G21)/Watts)/1000)/(N21/$L$15))</f>
        <v>55.477839519976428</v>
      </c>
      <c r="HA21" s="305">
        <f>(1.005*(($R21-Celc2)/Celc1))+($GX21*(2500+(1.87*(($R21-Celc2)/Celc1))))</f>
        <v>48.200220227430705</v>
      </c>
      <c r="HB21" s="305">
        <f t="shared" si="17"/>
        <v>19.415087041495514</v>
      </c>
      <c r="HC21" s="305">
        <f t="shared" si="18"/>
        <v>19.415087041495514</v>
      </c>
      <c r="HD21" s="679"/>
      <c r="HE21" s="57">
        <f t="shared" si="7"/>
        <v>450.174779</v>
      </c>
      <c r="HF21" s="57">
        <f t="shared" si="8"/>
        <v>1074.5779201926093</v>
      </c>
      <c r="HG21" s="525">
        <f t="shared" si="9"/>
        <v>17.5</v>
      </c>
      <c r="HH21" s="57">
        <f t="shared" si="10"/>
        <v>17.5</v>
      </c>
      <c r="HL21" s="344">
        <f>0.5*(1-((HP21-HE21)/HP21))</f>
        <v>0.5</v>
      </c>
      <c r="HM21" s="241">
        <f>(0.025*Tl_cool)+0.5</f>
        <v>1.175</v>
      </c>
      <c r="HN21" s="372"/>
      <c r="HO21" s="230">
        <f>HS21/HQ21</f>
        <v>0.55555555555555558</v>
      </c>
      <c r="HP21" s="226">
        <f>DU21</f>
        <v>450.174779</v>
      </c>
      <c r="HQ21" s="226">
        <f t="shared" si="19"/>
        <v>810.31460219999997</v>
      </c>
      <c r="HR21" s="222">
        <f>HP21/HQ21</f>
        <v>0.55555555555555558</v>
      </c>
      <c r="HS21" s="251">
        <f t="shared" si="11"/>
        <v>450.174779</v>
      </c>
      <c r="HT21" s="241">
        <f>IF(HS21-(HR21*HQ21)&lt;=0,0,HS21-(HR21*HQ21))</f>
        <v>0</v>
      </c>
      <c r="HU21" s="242">
        <f>HQ21*(1-HR21)</f>
        <v>360.13982319999997</v>
      </c>
      <c r="HV21" s="248">
        <f>IF((HT21/HU21)&gt;1,1,HT21/HU21)</f>
        <v>0</v>
      </c>
      <c r="HW21" s="224">
        <f t="shared" si="12"/>
        <v>17.5</v>
      </c>
      <c r="HX21" s="219">
        <f>Tr_cool*HM21</f>
        <v>21.150000000000002</v>
      </c>
      <c r="HY21" s="224">
        <f>ABS(HX21-HW21)</f>
        <v>3.6500000000000021</v>
      </c>
      <c r="HZ21" s="371"/>
      <c r="IA21" s="371"/>
      <c r="IB21" s="224">
        <f>IF(HO21&lt;=HR21,HW21,HW21+(HV21*HY21))</f>
        <v>17.5</v>
      </c>
      <c r="IC21" s="371"/>
      <c r="IE21" s="161">
        <f>(237.3*LN((RH*EXP(17.27*(Tl_cool/(Tl_cool+237.3))))))/(17.27-LN((RH*EXP(17.27*(Tl_cool/(Tl_cool+237.3))))))</f>
        <v>15.69066559142683</v>
      </c>
      <c r="IG21" s="259" t="e">
        <f>(BG21-BF21)/BG21</f>
        <v>#DIV/0!</v>
      </c>
      <c r="II21" s="305">
        <f>(611*EXP(17.27*(Tl_heat/(Tl_heat+237.7))))</f>
        <v>2334.1781978570243</v>
      </c>
      <c r="IJ21" s="305">
        <f>(611*EXP(17.27*((($P21-Celc2)/Celc1)/((($P21-Celc2)/Celc1)+237.7))))</f>
        <v>13836.221465208122</v>
      </c>
    </row>
    <row r="22" spans="2:244" x14ac:dyDescent="0.25">
      <c r="B22" s="221">
        <v>1</v>
      </c>
      <c r="C22" s="30">
        <v>10</v>
      </c>
      <c r="D22" s="31">
        <f>IF(Geg_dP&lt;AB22,((($BK$18*($N22/Cubics)^4+$BK$19*($N22/Cubics)^3+$BK$20*($N22/Cubics)^2+$BK$21*($N22/Cubics)^1+$BK$22)*((CF_Regime_Heat_noExp)^$AA22)))*CF_Addit*Watts*CF_Altit,Lim_dP)</f>
        <v>5490.6296081231185</v>
      </c>
      <c r="E22" s="30">
        <f>IF(Geg_dP&lt;$AB22,ROUND((($D22/Watts)/((Tv_heat-Tr_heat)*1.163))*FlowH2O,IF(UnitsNo=1,0,IF(UnitsNo=2,2))),"")</f>
        <v>472</v>
      </c>
      <c r="F22" s="79">
        <f>IF(Geg_dP&lt;$AB22,IF((($BM$18*(E22/FlowH2O)^$BM$19))*kPa&gt;0,(($BM$18*(E22/FlowH2O)^$BM$19))*kPa,0),"")</f>
        <v>4.7984866261193035</v>
      </c>
      <c r="G22" s="32">
        <f>IF(Geg_dP&lt;$AB22,((($BL$18*($N22/Cubics)^4+$BL$19*($N22/Cubics)^3+$BL$20*($N22/Cubics)^2+$BL$21*($N22/Cubics)^1+$BL$22)*((CF_Regime_Cool_noExp)^$Y22)))*CF_Addit*Watts*CF_Altit,Lim_dP)</f>
        <v>1168.9674964689752</v>
      </c>
      <c r="H22" s="32">
        <f>IF(Geg_dP&lt;$AB22,((G22/Watts)/(IF((237.3*LN((RH*EXP(17.27*(Tl_cool/(Tl_cool+237.3))))))/(17.27-LN((RH*EXP(17.27*(Tl_cool/(Tl_cool+237.3))))))&lt;EZ22,1,IF(1/(1+((2258*((0.622/((101325/(1*611*EXP(17.27*(EZ22/(EZ22+237.3))))))-1)*1000-(0.622/((101325/(RH*611*EXP(17.27*(Tl_cool/(Tl_cool+237.3))))))-1)*1000))/(1005*(Tavg_cold-Tl_cool))))&gt;1,1,1/(1+((2258*((0.622/((101325/(1*611*EXP(17.27*(EZ22/(EZ22+237.3))))))-1)*1000-(0.622/((101325/(RH*611*EXP(17.27*(Tl_cool/(Tl_cool+237.3))))))-1)*1000))/(1005*(Tavg_cold-Tl_cool))))))))*Watts,"")</f>
        <v>1168.9674964689752</v>
      </c>
      <c r="I22" s="30">
        <f>IF(Geg_dP&lt;AB22,ROUND(((H22/Watts)/((Tr_cool-Tv_cool)*1.163))*FlowH2O,IF(UnitsNo=1,0,IF(UnitsNo=2,2))),"")</f>
        <v>503</v>
      </c>
      <c r="J22" s="79">
        <f>IF(Geg_dP&lt;$AB22,IF((($BM$21*(I22/FlowH2O)^$BM$22))*kPa&gt;0,(($BM$21*(I22/FlowH2O)^$BM$22))*kPa,0),"")</f>
        <v>5.3934628308251646</v>
      </c>
      <c r="K22" s="78">
        <f>IF(Geg_dP&lt;AB22,IF($L22-8&lt;0,0,$L22-8),"")</f>
        <v>51</v>
      </c>
      <c r="L22" s="478">
        <f>IF(Geg_dP&lt;$AB22,IF(CalcNo="12",$ET22,IF(CalcNo="22",$ET22,IF(CalcNo="13",$EU22,IF(CalcNo="23",$EU22,IF(CalcNo="11",$ER22,IF(CalcNo="21",$ER22,IF(CalcNo="14",$ES22,IF(CalcNo="24",$ES22,IF(CalcNo="32",$EX22,IF(CalcNo="42",$EX22,IF(CalcNo="33",$EY22,IF(CalcNo="43",$EY22,IF(CalcNo="31",$EV22,IF(CalcNo="41",$EV22,IF(CalcNo="34",$EW22,IF(CalcNo="44",$EW22,)))))))))))))))),"")</f>
        <v>59</v>
      </c>
      <c r="M22" s="36">
        <f>IF(Geg_dP&lt;$AB22,($CF22*(($N22*CFMs)^4))+($CG22*(($N22*CFMs)^3))+($CH22*(($N22*CFMs)^2))+($CI22*($N22*CFMs))+$CJ22,"")</f>
        <v>41.092296234432752</v>
      </c>
      <c r="N22" s="197">
        <f>IF(Geg_dP&lt;$AB22,(BZ22*Geg_dP^5+CA22*Geg_dP^4+CB22*Geg_dP^3+CC22*Geg_dP^2+CD22*Geg_dP+CE22)*CF_Case*Cubics,"")</f>
        <v>500.13429500000001</v>
      </c>
      <c r="O22" s="479">
        <f>IF(Geg_dP&lt;$AB22,(($N22/Cubics)/3600)/(($BJ$23/100)*($BP$23/100))*FeetMins,"")</f>
        <v>1.1481503558310375</v>
      </c>
      <c r="P22" s="198">
        <f>IF(Geg_dP&lt;$AB22,((($D22/Watts)/(((p_atm*0.028964)/(8.31447*(20+273.15)))*(($N22/3600)/Cubics)*(1005+1870*((0.622)/(((p_atm)/($E$14*pvs_heat_in))-1)))))+Tl_heat)*Celc1+Celc2,"")</f>
        <v>52.224879346627127</v>
      </c>
      <c r="Q22" s="297">
        <f>IF(Geg_dP&lt;$AB22,(27.8*LN(($GN22+36)/45.5))*Celc1+Celc2,"")</f>
        <v>23.85355961977243</v>
      </c>
      <c r="R22" s="508">
        <f>IF(Geg_dP&lt;$AB22,(Tl_cool-(($G22/Watts)/(1006*$N22*kgss)))*Celc1+Celc2,"")</f>
        <v>20.053055441326705</v>
      </c>
      <c r="S22" s="36">
        <f>IF(Geg_dP&lt;$AB22,IF((27.8*LN(($HA22+36)/45.5))*Celc1+Celc2&gt;R22,R22,(27.8*LN(($HA22+36)/45.5))*Celc1+Celc2),"")</f>
        <v>17.160489433954407</v>
      </c>
      <c r="T22" s="299">
        <f>IF(Geg_dP&lt;$AB22,IF($H22&gt;$G22,1,IF(($GT22/$GR22)&lt;0,0,$GT22/$GR22)),"")</f>
        <v>0.75944667365107443</v>
      </c>
      <c r="U22" s="416">
        <f>IF(Geg_dP&lt;$AB22,$CK22*($N22/Cubics)^2+$CL22*($N22/Cubics)^1+$CM22,"")</f>
        <v>1247.4857962866836</v>
      </c>
      <c r="V22" s="483">
        <f>M22/((N22/Cubics)/3.6)</f>
        <v>0.29578508797113762</v>
      </c>
      <c r="W22" s="513">
        <f>(G22/Watts)/(N22/Cubics)</f>
        <v>2.3373072155929142</v>
      </c>
      <c r="X22" s="56">
        <f t="shared" si="1"/>
        <v>1.0210600000000001</v>
      </c>
      <c r="Y22" s="56">
        <f t="shared" si="2"/>
        <v>1.1002799999999999</v>
      </c>
      <c r="Z22" s="56">
        <f t="shared" si="2"/>
        <v>1.13249</v>
      </c>
      <c r="AA22" s="56">
        <f t="shared" si="13"/>
        <v>1.0210600000000001</v>
      </c>
      <c r="AB22" s="56">
        <f t="shared" si="14"/>
        <v>132.32</v>
      </c>
      <c r="AC22" s="95">
        <v>1.0210600000000001</v>
      </c>
      <c r="AD22" s="95">
        <v>1.1002799999999999</v>
      </c>
      <c r="AE22" s="95">
        <v>1.13249</v>
      </c>
      <c r="AF22" s="96">
        <v>130</v>
      </c>
      <c r="AG22" s="95">
        <v>1.0210600000000001</v>
      </c>
      <c r="AH22" s="95">
        <v>1.1002799999999999</v>
      </c>
      <c r="AI22" s="95">
        <v>1.13249</v>
      </c>
      <c r="AJ22" s="486">
        <v>160</v>
      </c>
      <c r="AK22" s="487">
        <v>1.0210600000000001</v>
      </c>
      <c r="AL22" s="487">
        <v>1.1002799999999999</v>
      </c>
      <c r="AM22" s="487">
        <v>1.13249</v>
      </c>
      <c r="AN22" s="486">
        <v>132.32</v>
      </c>
      <c r="AO22" s="488"/>
      <c r="AP22" s="488"/>
      <c r="AQ22" s="488"/>
      <c r="AR22" s="488">
        <v>1000</v>
      </c>
      <c r="AS22" s="488"/>
      <c r="AT22" s="488"/>
      <c r="AU22" s="488"/>
      <c r="AV22" s="488">
        <v>1000</v>
      </c>
      <c r="AW22" s="488"/>
      <c r="AX22" s="488"/>
      <c r="AY22" s="488"/>
      <c r="AZ22" s="488">
        <v>1000</v>
      </c>
      <c r="BA22" s="97"/>
      <c r="BB22" s="97"/>
      <c r="BC22" s="97"/>
      <c r="BD22" s="97">
        <v>1000</v>
      </c>
      <c r="BE22" s="97"/>
      <c r="BF22" s="97"/>
      <c r="BG22" s="97"/>
      <c r="BH22" s="97">
        <v>1000</v>
      </c>
      <c r="BJ22" s="182"/>
      <c r="BK22" s="82">
        <f t="shared" si="20"/>
        <v>-199.38180500000001</v>
      </c>
      <c r="BL22" s="85">
        <f t="shared" si="20"/>
        <v>19.937347599999999</v>
      </c>
      <c r="BM22" s="85">
        <f t="shared" si="20"/>
        <v>1.8375235778256551</v>
      </c>
      <c r="BN22" s="103">
        <v>-199.38180500000001</v>
      </c>
      <c r="BO22" s="104">
        <v>19.937347599999999</v>
      </c>
      <c r="BP22" s="106">
        <v>1.8375235778256551</v>
      </c>
      <c r="BQ22" s="103">
        <v>284.46566100000001</v>
      </c>
      <c r="BR22" s="104">
        <f t="shared" si="22"/>
        <v>19.937347599999999</v>
      </c>
      <c r="BS22" s="106">
        <f>BP22</f>
        <v>1.8375235778256551</v>
      </c>
      <c r="BT22" s="97">
        <v>0</v>
      </c>
      <c r="BU22" s="97">
        <v>0</v>
      </c>
      <c r="BV22" s="97">
        <v>0</v>
      </c>
      <c r="BW22" s="97">
        <v>0</v>
      </c>
      <c r="BX22" s="97">
        <v>0</v>
      </c>
      <c r="BY22" s="97">
        <v>0</v>
      </c>
      <c r="BZ22" s="131">
        <f t="shared" si="4"/>
        <v>0</v>
      </c>
      <c r="CA22" s="132">
        <f t="shared" si="4"/>
        <v>-5.9409897000000003E-7</v>
      </c>
      <c r="CB22" s="132">
        <f t="shared" si="4"/>
        <v>1.5276678600000001E-4</v>
      </c>
      <c r="CC22" s="132">
        <f t="shared" si="4"/>
        <v>-1.9894911000000001E-2</v>
      </c>
      <c r="CD22" s="132">
        <f t="shared" si="4"/>
        <v>-2.3242714100000001</v>
      </c>
      <c r="CE22" s="133">
        <f t="shared" si="4"/>
        <v>500.13429500000001</v>
      </c>
      <c r="CF22" s="131">
        <f t="shared" si="21"/>
        <v>0</v>
      </c>
      <c r="CG22" s="132">
        <f t="shared" si="21"/>
        <v>-4.12630845E-7</v>
      </c>
      <c r="CH22" s="132">
        <f t="shared" si="21"/>
        <v>1.9149617600000001E-4</v>
      </c>
      <c r="CI22" s="132">
        <f t="shared" si="21"/>
        <v>6.3930084700000001E-2</v>
      </c>
      <c r="CJ22" s="132">
        <f t="shared" si="6"/>
        <v>16.205075799999999</v>
      </c>
      <c r="CK22" s="131">
        <f t="shared" si="6"/>
        <v>2.2113345600000001E-4</v>
      </c>
      <c r="CL22" s="132">
        <f t="shared" si="6"/>
        <v>-0.89936571700000001</v>
      </c>
      <c r="CM22" s="133">
        <f t="shared" si="6"/>
        <v>1641.9763700000001</v>
      </c>
      <c r="CN22" s="358"/>
      <c r="CO22" s="117">
        <v>-2.3087412400000001E-6</v>
      </c>
      <c r="CP22" s="117">
        <v>5.4331874500000005E-4</v>
      </c>
      <c r="CQ22" s="117">
        <v>-4.4610923599999998E-2</v>
      </c>
      <c r="CR22" s="117">
        <v>-1.76933104</v>
      </c>
      <c r="CS22" s="118">
        <v>453.00650400000001</v>
      </c>
      <c r="CT22" s="358"/>
      <c r="CU22" s="119">
        <v>-7.42482315E-7</v>
      </c>
      <c r="CV22" s="117">
        <v>3.3155858199999998E-4</v>
      </c>
      <c r="CW22" s="117">
        <v>4.65247736E-2</v>
      </c>
      <c r="CX22" s="118">
        <v>16.398631099999999</v>
      </c>
      <c r="CY22" s="117">
        <v>-2.4626116200000002E-5</v>
      </c>
      <c r="CZ22" s="117">
        <v>-0.72598385600000004</v>
      </c>
      <c r="DA22" s="425">
        <v>1621.8979999999999</v>
      </c>
      <c r="DB22" s="424"/>
      <c r="DC22" s="117">
        <v>-3.5150863800000002E-6</v>
      </c>
      <c r="DD22" s="117">
        <v>8.4314250899999998E-4</v>
      </c>
      <c r="DE22" s="117">
        <v>-6.5593087899999999E-2</v>
      </c>
      <c r="DF22" s="117">
        <v>-0.69919344400000005</v>
      </c>
      <c r="DG22" s="118">
        <v>677.34145100000001</v>
      </c>
      <c r="DH22" s="377"/>
      <c r="DI22" s="127">
        <v>-6.4642098199999995E-7</v>
      </c>
      <c r="DJ22" s="123">
        <v>3.0023872999999999E-4</v>
      </c>
      <c r="DK22" s="123">
        <v>0.147500204</v>
      </c>
      <c r="DL22" s="124">
        <v>20.931426200000001</v>
      </c>
      <c r="DM22" s="117">
        <v>-8.7445328400000003E-4</v>
      </c>
      <c r="DN22" s="117">
        <v>0.295186952</v>
      </c>
      <c r="DO22" s="425">
        <v>1806.96118</v>
      </c>
      <c r="DP22" s="424"/>
      <c r="DQ22" s="117">
        <v>-5.9409897000000003E-7</v>
      </c>
      <c r="DR22" s="117">
        <v>1.5276678600000001E-4</v>
      </c>
      <c r="DS22" s="117">
        <v>-1.9894911000000001E-2</v>
      </c>
      <c r="DT22" s="117">
        <v>-2.3242714100000001</v>
      </c>
      <c r="DU22" s="118">
        <v>500.13429500000001</v>
      </c>
      <c r="DV22" s="377"/>
      <c r="DW22" s="127">
        <v>-4.12630845E-7</v>
      </c>
      <c r="DX22" s="123">
        <v>1.9149617600000001E-4</v>
      </c>
      <c r="DY22" s="123">
        <v>6.3930084700000001E-2</v>
      </c>
      <c r="DZ22" s="124">
        <v>16.205075799999999</v>
      </c>
      <c r="EA22" s="117">
        <v>2.2113345600000001E-4</v>
      </c>
      <c r="EB22" s="117">
        <v>-0.89936571700000001</v>
      </c>
      <c r="EC22" s="425">
        <v>1641.9763700000001</v>
      </c>
      <c r="ED22" s="354"/>
      <c r="EE22" s="354"/>
      <c r="EF22" s="354"/>
      <c r="EG22" s="354"/>
      <c r="EH22" s="354"/>
      <c r="EI22" s="355"/>
      <c r="EJ22" s="353"/>
      <c r="EK22" s="354"/>
      <c r="EL22" s="354"/>
      <c r="EM22" s="354"/>
      <c r="EN22" s="355"/>
      <c r="EO22" s="415"/>
      <c r="EP22" s="415"/>
      <c r="EQ22" s="415"/>
      <c r="ER22" s="137">
        <v>59</v>
      </c>
      <c r="ES22" s="441"/>
      <c r="ET22" s="137">
        <v>59</v>
      </c>
      <c r="EU22" s="361"/>
      <c r="EV22" s="368"/>
      <c r="EW22" s="369"/>
      <c r="EX22" s="369"/>
      <c r="EY22" s="370"/>
      <c r="EZ22" s="137">
        <f>IF($BK$17="11",FA22,IF($BK$17="21",FA22,IF($BK$17="12",FC22,IF($BK$17="22",FC22,IF($BK$17="13",FD22,IF($BK$17="23",FD22,IF($BK$17="14",FB22,IF($BK$17="24",FB22,IF($BK$17="31",FE22,IF($BK$17="41",FE22,IF($BK$17="32",FG22,IF($BK$17="42",FG22,IF($BK$17="33",FH22,IF($BK$17="43",FH22,IF($BK$17="34",FF22,IF($BK$17="44",FF22,))))))))))))))))</f>
        <v>17.5</v>
      </c>
      <c r="FA22" s="143">
        <f>Tavg_cold</f>
        <v>17</v>
      </c>
      <c r="FB22" s="143">
        <f>IF($GC22&lt;=$FC22,$FC22,IF($FM22&lt;=$FP22,$FC22,$FZ22))</f>
        <v>17.5</v>
      </c>
      <c r="FC22" s="143">
        <f>IF($N22&gt;$FN22,Tavg_cold+(0.5*(Tr_cool-Tavg_cold)),Tavg_cold+($FJ22*(Tr_cool-Tavg_cold)))</f>
        <v>17.5</v>
      </c>
      <c r="FD22" s="358"/>
      <c r="FE22" s="354"/>
      <c r="FF22" s="354"/>
      <c r="FG22" s="354"/>
      <c r="FH22" s="355"/>
      <c r="FJ22" s="344">
        <f>0.5*(1-((FN22-N22)/FN22))</f>
        <v>0.5</v>
      </c>
      <c r="FK22" s="241">
        <f>(0.025*Tl_cool)+0.5</f>
        <v>1.175</v>
      </c>
      <c r="FL22" s="397"/>
      <c r="FM22" s="230">
        <f>FQ22/FO22</f>
        <v>0.55555555555555547</v>
      </c>
      <c r="FN22" s="226">
        <f>DU22</f>
        <v>500.13429500000001</v>
      </c>
      <c r="FO22" s="226">
        <f>FN22*1.8</f>
        <v>900.24173100000007</v>
      </c>
      <c r="FP22" s="222">
        <f>FN22/FO22</f>
        <v>0.55555555555555547</v>
      </c>
      <c r="FQ22" s="238">
        <f>N22/Cubics</f>
        <v>500.13429500000001</v>
      </c>
      <c r="FR22" s="241">
        <f>IF(FQ22-(FP22*FO22)&lt;=0,0,FQ22-(FP22*FO22))</f>
        <v>5.6843418860808015E-14</v>
      </c>
      <c r="FS22" s="242">
        <f>FO22*(1-FP22)</f>
        <v>400.10743600000012</v>
      </c>
      <c r="FT22" s="248">
        <f>IF((FR22/FS22)&gt;1,1,FR22/FS22)</f>
        <v>1.4207038846638181E-16</v>
      </c>
      <c r="FU22" s="224">
        <f>FC22</f>
        <v>17.5</v>
      </c>
      <c r="FV22" s="219">
        <f>Tr_cool*FK22</f>
        <v>21.150000000000002</v>
      </c>
      <c r="FW22" s="224">
        <f>ABS(FV22-FU22)</f>
        <v>3.6500000000000021</v>
      </c>
      <c r="FX22" s="398"/>
      <c r="FY22" s="398"/>
      <c r="FZ22" s="224">
        <f>IF(FM22&lt;=FP22,FU22,FU22+(FT22*FW22))</f>
        <v>17.5</v>
      </c>
      <c r="GA22" s="398"/>
      <c r="GC22" s="161">
        <f>(237.3*LN((RH*EXP(17.27*(Tl_cool/(Tl_cool+237.3))))))/(17.27-LN((RH*EXP(17.27*(Tl_cool/(Tl_cool+237.3))))))</f>
        <v>15.69066559142683</v>
      </c>
      <c r="GE22" s="259">
        <f>(H22-G22)/H22</f>
        <v>0</v>
      </c>
      <c r="GG22" s="305">
        <f>(611*EXP(17.27*(Tl_heat/(Tl_heat+237.7))))</f>
        <v>2334.1781978570243</v>
      </c>
      <c r="GH22" s="305">
        <f>(611*EXP(17.27*((($P22-Celc2)/Celc1)/((($P22-Celc2)/Celc1)+237.7))))</f>
        <v>13711.420823515078</v>
      </c>
      <c r="GI22" s="305">
        <f>RH*$GG22</f>
        <v>1167.0890989285122</v>
      </c>
      <c r="GJ22" s="305">
        <f>(GL22*p_atm)/(GL22+0.622)</f>
        <v>1167.0890989285119</v>
      </c>
      <c r="GK22" s="305">
        <f>0.622*($GI22/(p_atm-$GI22))</f>
        <v>7.2478490515896785E-3</v>
      </c>
      <c r="GL22" s="305">
        <f t="shared" si="15"/>
        <v>7.2478490515896785E-3</v>
      </c>
      <c r="GM22" s="305">
        <f>(1.005*Tl_heat)+($GK22*(2500+(1.87*Tl_heat)))</f>
        <v>38.490692183503647</v>
      </c>
      <c r="GN22" s="305">
        <f>(1.005*(($P22-Celc2)/Celc1))+($GL22*(2500+(1.87*(($P22-Celc2)/Celc1))))</f>
        <v>71.313455111326689</v>
      </c>
      <c r="GO22" s="306">
        <f t="shared" si="16"/>
        <v>8.5118027806932658E-2</v>
      </c>
      <c r="GQ22" s="305">
        <f>(611*EXP(17.27*(Tl_cool/(Tl_cool+237.7))))</f>
        <v>3557.0118570174286</v>
      </c>
      <c r="GR22" s="305">
        <f>(611*EXP(17.27*((($R22-Celc2)/Celc1)/((($R22-Celc2)/Celc1)+237.7))))</f>
        <v>2341.8443851474999</v>
      </c>
      <c r="GS22" s="305">
        <f>RH*$GQ22</f>
        <v>1778.5059285087143</v>
      </c>
      <c r="GT22" s="305">
        <f>(GW22*p_atm)/(GW22+0.622)</f>
        <v>1778.5059285087143</v>
      </c>
      <c r="GU22" s="305">
        <f>T22*GR22</f>
        <v>1778.5059285087145</v>
      </c>
      <c r="GV22" s="307">
        <f>0.622*($GS22/(p_atm-$GS22))</f>
        <v>1.1112703645172665E-2</v>
      </c>
      <c r="GW22" s="307">
        <f>IF(H22=G22,GV22,(0.53475935828878*($GZ22-(1.005*(($R22-Celc2)/Celc1))))/(1336.8983957219))</f>
        <v>1.1112703645172665E-2</v>
      </c>
      <c r="GX22" s="305">
        <f>0.622*($GU22/(p_atm-$GU22))</f>
        <v>1.1112703645172667E-2</v>
      </c>
      <c r="GY22" s="305">
        <f>(1.005*Tl_cool)+($GV22*(2500+(1.87*Tl_cool)))</f>
        <v>55.477839519976428</v>
      </c>
      <c r="GZ22" s="305">
        <f>GY22-((((H22-G22)/Watts)/1000)/(N22/$L$15))</f>
        <v>55.477839519976428</v>
      </c>
      <c r="HA22" s="305">
        <f>(1.005*(($R22-Celc2)/Celc1))+($GX22*(2500+(1.87*(($R22-Celc2)/Celc1))))</f>
        <v>48.351797479965406</v>
      </c>
      <c r="HB22" s="305">
        <f t="shared" si="17"/>
        <v>19.415087041495514</v>
      </c>
      <c r="HC22" s="305">
        <f t="shared" si="18"/>
        <v>19.415087041495514</v>
      </c>
      <c r="HD22" s="679"/>
      <c r="HE22" s="57">
        <f t="shared" si="7"/>
        <v>500.13429500000001</v>
      </c>
      <c r="HF22" s="57">
        <f t="shared" si="8"/>
        <v>1168.9674964689752</v>
      </c>
      <c r="HG22" s="525">
        <f t="shared" si="9"/>
        <v>17.5</v>
      </c>
      <c r="HH22" s="57">
        <f t="shared" si="10"/>
        <v>17.5</v>
      </c>
      <c r="HL22" s="344">
        <f>0.5*(1-((HP22-HE22)/HP22))</f>
        <v>0.5</v>
      </c>
      <c r="HM22" s="241">
        <f>(0.025*Tl_cool)+0.5</f>
        <v>1.175</v>
      </c>
      <c r="HN22" s="397"/>
      <c r="HO22" s="230">
        <f>HS22/HQ22</f>
        <v>0.55555555555555547</v>
      </c>
      <c r="HP22" s="226">
        <f>DU22</f>
        <v>500.13429500000001</v>
      </c>
      <c r="HQ22" s="226">
        <f t="shared" si="19"/>
        <v>900.24173100000007</v>
      </c>
      <c r="HR22" s="222">
        <f>HP22/HQ22</f>
        <v>0.55555555555555547</v>
      </c>
      <c r="HS22" s="251">
        <f t="shared" si="11"/>
        <v>500.13429500000001</v>
      </c>
      <c r="HT22" s="241">
        <f>IF(HS22-(HR22*HQ22)&lt;=0,0,HS22-(HR22*HQ22))</f>
        <v>5.6843418860808015E-14</v>
      </c>
      <c r="HU22" s="242">
        <f>HQ22*(1-HR22)</f>
        <v>400.10743600000012</v>
      </c>
      <c r="HV22" s="248">
        <f>IF((HT22/HU22)&gt;1,1,HT22/HU22)</f>
        <v>1.4207038846638181E-16</v>
      </c>
      <c r="HW22" s="224">
        <f t="shared" si="12"/>
        <v>17.5</v>
      </c>
      <c r="HX22" s="219">
        <f>Tr_cool*HM22</f>
        <v>21.150000000000002</v>
      </c>
      <c r="HY22" s="224">
        <f>ABS(HX22-HW22)</f>
        <v>3.6500000000000021</v>
      </c>
      <c r="HZ22" s="398"/>
      <c r="IA22" s="398"/>
      <c r="IB22" s="224">
        <f>IF(HO22&lt;=HR22,HW22,HW22+(HV22*HY22))</f>
        <v>17.5</v>
      </c>
      <c r="IC22" s="398"/>
      <c r="IE22" s="161">
        <f>(237.3*LN((RH*EXP(17.27*(Tl_cool/(Tl_cool+237.3))))))/(17.27-LN((RH*EXP(17.27*(Tl_cool/(Tl_cool+237.3))))))</f>
        <v>15.69066559142683</v>
      </c>
      <c r="IG22" s="259" t="e">
        <f>(BG22-BF22)/BG22</f>
        <v>#DIV/0!</v>
      </c>
      <c r="II22" s="305">
        <f>(611*EXP(17.27*(Tl_heat/(Tl_heat+237.7))))</f>
        <v>2334.1781978570243</v>
      </c>
      <c r="IJ22" s="305">
        <f>(611*EXP(17.27*((($P22-Celc2)/Celc1)/((($P22-Celc2)/Celc1)+237.7))))</f>
        <v>13711.420823515078</v>
      </c>
    </row>
    <row r="23" spans="2:244" ht="15" customHeight="1" x14ac:dyDescent="0.25">
      <c r="B23" s="615" t="str">
        <f>IF(LangNo=1,NL!A23,IF(LangNo=2,EN!A23,IF(LangNo=3,DE!A23,IF(LangNo=4,FR!A23,IF(LangNo=5,NR!A23,IF(LangNo=6,SP!A23,IF(LangNo=7,SW!A23,IF(LangNo=8,TS!A23,IF(LangNo=9,ExtraTaal1!A23,IF(LangNo=10,ExtraTaal2!A23,IF(LangNo=11,ExtraTaal3!A23,)))))))))))</f>
        <v>Briza 22 (230V) height 54,5 cm, width 22 cm, length 75 cm (Type 03)</v>
      </c>
      <c r="C23" s="616">
        <f>IF(LangNo=1,NL!B21,IF(LangNo=2,EN!B21,IF(LangNo=3,DE!B21,IF(LangNo=4,FR!B21,IF(LangNo=5,NR!B21,IF(LangNo=6,SP!B21,IF(LangNo=7,SW!B21,IF(LangNo=8,TS!B21,IF(LangNo=9,ExtraTaal1!B21,IF(LangNo=10,ExtraTaal2!B21,IF(LangNo=11,ExtraTaal3!B21,)))))))))))</f>
        <v>0</v>
      </c>
      <c r="D23" s="616">
        <f>IF(LangNo=1,NL!C21,IF(LangNo=2,EN!C21,IF(LangNo=3,DE!C21,IF(LangNo=4,FR!C21,IF(LangNo=5,NR!C21,IF(LangNo=6,SP!C21,IF(LangNo=7,SW!C21,IF(LangNo=8,TS!C21,IF(LangNo=9,ExtraTaal1!C21,IF(LangNo=10,ExtraTaal2!C21,IF(LangNo=11,ExtraTaal3!C21,)))))))))))</f>
        <v>0</v>
      </c>
      <c r="E23" s="616">
        <f>IF(LangNo=1,NL!D21,IF(LangNo=2,EN!D21,IF(LangNo=3,DE!D21,IF(LangNo=4,FR!D21,IF(LangNo=5,NR!D21,IF(LangNo=6,SP!D21,IF(LangNo=7,SW!D21,IF(LangNo=8,TS!D21,IF(LangNo=9,ExtraTaal1!D21,IF(LangNo=10,ExtraTaal2!D21,IF(LangNo=11,ExtraTaal3!D21,)))))))))))</f>
        <v>0</v>
      </c>
      <c r="F23" s="616">
        <f>IF(LangNo=1,NL!E21,IF(LangNo=2,EN!E21,IF(LangNo=3,DE!E21,IF(LangNo=4,FR!E21,IF(LangNo=5,NR!E21,IF(LangNo=6,SP!E21,IF(LangNo=7,SW!E21,IF(LangNo=8,TS!E21,IF(LangNo=9,ExtraTaal1!E21,IF(LangNo=10,ExtraTaal2!E21,IF(LangNo=11,ExtraTaal3!E21,)))))))))))</f>
        <v>0</v>
      </c>
      <c r="G23" s="616">
        <f>IF(LangNo=1,NL!F21,IF(LangNo=2,EN!F21,IF(LangNo=3,DE!F21,IF(LangNo=4,FR!F21,IF(LangNo=5,NR!F21,IF(LangNo=6,SP!F21,IF(LangNo=7,SW!F21,IF(LangNo=8,TS!F21,IF(LangNo=9,ExtraTaal1!F21,IF(LangNo=10,ExtraTaal2!F21,IF(LangNo=11,ExtraTaal3!F21,)))))))))))</f>
        <v>0</v>
      </c>
      <c r="H23" s="616">
        <f>IF(LangNo=1,NL!G21,IF(LangNo=2,EN!G21,IF(LangNo=3,DE!G21,IF(LangNo=4,FR!G21,IF(LangNo=5,NR!G21,IF(LangNo=6,SP!G21,IF(LangNo=7,SW!G21,IF(LangNo=8,TS!G21,IF(LangNo=9,ExtraTaal1!G21,IF(LangNo=10,ExtraTaal2!G21,IF(LangNo=11,ExtraTaal3!G21,)))))))))))</f>
        <v>0</v>
      </c>
      <c r="I23" s="616">
        <f>IF(LangNo=1,NL!H21,IF(LangNo=2,EN!H21,IF(LangNo=3,DE!H21,IF(LangNo=4,FR!H21,IF(LangNo=5,NR!H21,IF(LangNo=6,SP!H21,IF(LangNo=7,SW!H21,IF(LangNo=8,TS!H21,IF(LangNo=9,ExtraTaal1!H21,IF(LangNo=10,ExtraTaal2!H21,IF(LangNo=11,ExtraTaal3!H21,)))))))))))</f>
        <v>0</v>
      </c>
      <c r="J23" s="616">
        <f>IF(LangNo=1,NL!I21,IF(LangNo=2,EN!I21,IF(LangNo=3,DE!I21,IF(LangNo=4,FR!I21,IF(LangNo=5,NR!I21,IF(LangNo=6,SP!I21,IF(LangNo=7,SW!I21,IF(LangNo=8,TS!I21,IF(LangNo=9,ExtraTaal1!I21,IF(LangNo=10,ExtraTaal2!I21,IF(LangNo=11,ExtraTaal3!I21,)))))))))))</f>
        <v>0</v>
      </c>
      <c r="K23" s="616">
        <f>IF(LangNo=1,NL!J21,IF(LangNo=2,EN!J21,IF(LangNo=3,DE!J21,IF(LangNo=4,FR!J21,IF(LangNo=5,NR!J21,IF(LangNo=6,SP!J21,IF(LangNo=7,SW!J21,IF(LangNo=8,TS!J21,IF(LangNo=9,ExtraTaal1!J21,IF(LangNo=10,ExtraTaal2!J21,IF(LangNo=11,ExtraTaal3!J21,)))))))))))</f>
        <v>0</v>
      </c>
      <c r="L23" s="616">
        <f>IF(LangNo=1,NL!K21,IF(LangNo=2,EN!K21,IF(LangNo=3,DE!K21,IF(LangNo=4,FR!K21,IF(LangNo=5,NR!K21,IF(LangNo=6,SP!K21,IF(LangNo=7,SW!K21,IF(LangNo=8,TS!K21,IF(LangNo=9,ExtraTaal1!K21,IF(LangNo=10,ExtraTaal2!K21,IF(LangNo=11,ExtraTaal3!K21,)))))))))))</f>
        <v>0</v>
      </c>
      <c r="M23" s="616">
        <f>IF(LangNo=1,NL!L21,IF(LangNo=2,EN!L21,IF(LangNo=3,DE!L21,IF(LangNo=4,FR!L21,IF(LangNo=5,NR!L21,IF(LangNo=6,SP!L21,IF(LangNo=7,SW!L21,IF(LangNo=8,TS!L21,IF(LangNo=9,ExtraTaal1!L21,IF(LangNo=10,ExtraTaal2!L21,IF(LangNo=11,ExtraTaal3!L21,)))))))))))</f>
        <v>0</v>
      </c>
      <c r="N23" s="657"/>
      <c r="O23" s="657"/>
      <c r="P23" s="657"/>
      <c r="Q23" s="657"/>
      <c r="R23" s="657"/>
      <c r="S23" s="657"/>
      <c r="T23" s="657"/>
      <c r="U23" s="657"/>
      <c r="V23" s="658"/>
      <c r="W23" s="513"/>
      <c r="X23" s="56"/>
      <c r="Y23" s="56"/>
      <c r="Z23" s="56"/>
      <c r="AA23" s="56">
        <f t="shared" si="13"/>
        <v>0</v>
      </c>
      <c r="AB23" s="56" t="str">
        <f t="shared" si="14"/>
        <v>m³/h</v>
      </c>
      <c r="AC23" s="94" t="s">
        <v>9</v>
      </c>
      <c r="AD23" s="94" t="s">
        <v>9</v>
      </c>
      <c r="AE23" s="94" t="s">
        <v>9</v>
      </c>
      <c r="AF23" s="95" t="s">
        <v>70</v>
      </c>
      <c r="AG23" s="94" t="s">
        <v>9</v>
      </c>
      <c r="AH23" s="94" t="s">
        <v>9</v>
      </c>
      <c r="AI23" s="94" t="s">
        <v>9</v>
      </c>
      <c r="AJ23" s="485" t="s">
        <v>70</v>
      </c>
      <c r="AK23" s="485" t="s">
        <v>9</v>
      </c>
      <c r="AL23" s="485" t="s">
        <v>9</v>
      </c>
      <c r="AM23" s="485" t="s">
        <v>9</v>
      </c>
      <c r="AN23" s="485" t="s">
        <v>70</v>
      </c>
      <c r="AO23" s="485" t="s">
        <v>9</v>
      </c>
      <c r="AP23" s="485" t="s">
        <v>9</v>
      </c>
      <c r="AQ23" s="485" t="s">
        <v>9</v>
      </c>
      <c r="AR23" s="487" t="s">
        <v>70</v>
      </c>
      <c r="AS23" s="485" t="s">
        <v>9</v>
      </c>
      <c r="AT23" s="485" t="s">
        <v>9</v>
      </c>
      <c r="AU23" s="485" t="s">
        <v>9</v>
      </c>
      <c r="AV23" s="485" t="s">
        <v>70</v>
      </c>
      <c r="AW23" s="485" t="s">
        <v>9</v>
      </c>
      <c r="AX23" s="485" t="s">
        <v>9</v>
      </c>
      <c r="AY23" s="485" t="s">
        <v>9</v>
      </c>
      <c r="AZ23" s="485" t="s">
        <v>70</v>
      </c>
      <c r="BA23" s="94" t="s">
        <v>9</v>
      </c>
      <c r="BB23" s="94" t="s">
        <v>9</v>
      </c>
      <c r="BC23" s="94" t="s">
        <v>9</v>
      </c>
      <c r="BD23" s="94" t="s">
        <v>70</v>
      </c>
      <c r="BE23" s="94" t="s">
        <v>9</v>
      </c>
      <c r="BF23" s="94" t="s">
        <v>9</v>
      </c>
      <c r="BG23" s="94" t="s">
        <v>9</v>
      </c>
      <c r="BH23" s="94" t="s">
        <v>70</v>
      </c>
      <c r="BJ23" s="182">
        <f>IF($BK$17="11",BO23,IF($BK$17="21",BR23,IF($BK$17="12",BO23,IF($BK$17="22",BR23,IF($BK$17="13",BO23,IF($BK$17="23",BR23,IF($BK$17="14",BO23,IF($BK$17="24",BR23,IF($BK$17="31",BU23,IF($BK$17="41",BX23,IF($BK$17="32",BU23,IF($BK$17="42",BX23,IF($BK$17="33",BU23,IF($BK$17="43",BX23,IF($BK$17="34",BU23,IF($BK$17="44",BX23,))))))))))))))))</f>
        <v>22</v>
      </c>
      <c r="BK23" s="255">
        <f>(BN23+IF(CaseNo=1,0,IF(CaseNo=2,$BN$2,)))*MilInch</f>
        <v>54.5</v>
      </c>
      <c r="BL23" s="255">
        <f>(BJ23+IF(CaseNo=1,0,IF(CaseNo=2,$BN$3,)))*MilInch</f>
        <v>22</v>
      </c>
      <c r="BM23" s="255">
        <f>(BP23+IF(CaseNo=1,0,IF(CaseNo=2,$BN$4,)))*MilInch</f>
        <v>55</v>
      </c>
      <c r="BN23" s="255">
        <v>54.5</v>
      </c>
      <c r="BO23" s="255">
        <v>22</v>
      </c>
      <c r="BP23" s="255">
        <v>55</v>
      </c>
      <c r="BQ23" s="255">
        <v>54.5</v>
      </c>
      <c r="BR23" s="255">
        <v>22</v>
      </c>
      <c r="BS23" s="255">
        <v>55</v>
      </c>
      <c r="BT23" s="255">
        <v>54.5</v>
      </c>
      <c r="BU23" s="255">
        <v>26</v>
      </c>
      <c r="BV23" s="255">
        <v>55</v>
      </c>
      <c r="BW23" s="255">
        <v>54.5</v>
      </c>
      <c r="BX23" s="255">
        <v>26</v>
      </c>
      <c r="BY23" s="255">
        <v>55</v>
      </c>
      <c r="BZ23" s="605" t="str">
        <f>CF23</f>
        <v>T03</v>
      </c>
      <c r="CA23" s="606"/>
      <c r="CB23" s="606"/>
      <c r="CC23" s="606"/>
      <c r="CD23" s="606"/>
      <c r="CE23" s="606"/>
      <c r="CF23" s="607" t="s">
        <v>49</v>
      </c>
      <c r="CG23" s="608"/>
      <c r="CH23" s="608"/>
      <c r="CI23" s="608"/>
      <c r="CJ23" s="608"/>
      <c r="CK23" s="607"/>
      <c r="CL23" s="608"/>
      <c r="CM23" s="609"/>
      <c r="CN23" s="601" t="str">
        <f>CF23</f>
        <v>T03</v>
      </c>
      <c r="CO23" s="596"/>
      <c r="CP23" s="596"/>
      <c r="CQ23" s="596"/>
      <c r="CR23" s="596"/>
      <c r="CS23" s="596"/>
      <c r="CT23" s="596"/>
      <c r="CU23" s="596"/>
      <c r="CV23" s="596"/>
      <c r="CW23" s="596"/>
      <c r="CX23" s="596"/>
      <c r="CY23" s="596"/>
      <c r="CZ23" s="596"/>
      <c r="DA23" s="597"/>
      <c r="DB23" s="601" t="str">
        <f>CF23</f>
        <v>T03</v>
      </c>
      <c r="DC23" s="596"/>
      <c r="DD23" s="596"/>
      <c r="DE23" s="596"/>
      <c r="DF23" s="596"/>
      <c r="DG23" s="596"/>
      <c r="DH23" s="596"/>
      <c r="DI23" s="596"/>
      <c r="DJ23" s="596"/>
      <c r="DK23" s="596"/>
      <c r="DL23" s="596"/>
      <c r="DM23" s="596"/>
      <c r="DN23" s="596"/>
      <c r="DO23" s="597"/>
      <c r="DP23" s="595" t="str">
        <f>CF23</f>
        <v>T03</v>
      </c>
      <c r="DQ23" s="596"/>
      <c r="DR23" s="596"/>
      <c r="DS23" s="596"/>
      <c r="DT23" s="596"/>
      <c r="DU23" s="596"/>
      <c r="DV23" s="596"/>
      <c r="DW23" s="596"/>
      <c r="DX23" s="596"/>
      <c r="DY23" s="596"/>
      <c r="DZ23" s="596"/>
      <c r="EA23" s="596"/>
      <c r="EB23" s="596"/>
      <c r="EC23" s="597"/>
      <c r="ED23" s="596" t="str">
        <f>CF23</f>
        <v>T03</v>
      </c>
      <c r="EE23" s="596"/>
      <c r="EF23" s="596"/>
      <c r="EG23" s="596"/>
      <c r="EH23" s="596"/>
      <c r="EI23" s="596"/>
      <c r="EJ23" s="596"/>
      <c r="EK23" s="596"/>
      <c r="EL23" s="596"/>
      <c r="EM23" s="596"/>
      <c r="EN23" s="596"/>
      <c r="EO23" s="596"/>
      <c r="EP23" s="596"/>
      <c r="EQ23" s="596"/>
      <c r="ER23" s="624" t="s">
        <v>49</v>
      </c>
      <c r="ES23" s="606"/>
      <c r="ET23" s="606"/>
      <c r="EU23" s="606"/>
      <c r="EV23" s="606"/>
      <c r="EW23" s="606"/>
      <c r="EX23" s="606"/>
      <c r="EY23" s="606"/>
      <c r="EZ23" s="625"/>
      <c r="FA23" s="601" t="str">
        <f>ER23</f>
        <v>T03</v>
      </c>
      <c r="FB23" s="596"/>
      <c r="FC23" s="596"/>
      <c r="FD23" s="600"/>
      <c r="FE23" s="171"/>
      <c r="FF23" s="171"/>
      <c r="FG23" s="596"/>
      <c r="FH23" s="600"/>
      <c r="FJ23" s="234"/>
      <c r="FK23" s="234"/>
      <c r="FL23" s="235"/>
      <c r="FM23" s="218"/>
      <c r="FN23" s="226"/>
      <c r="FO23" s="161"/>
      <c r="FP23" s="222"/>
      <c r="FQ23" s="237"/>
      <c r="FR23" s="239"/>
      <c r="FS23" s="240"/>
      <c r="FT23" s="247"/>
      <c r="FU23" s="224"/>
      <c r="FV23" s="237"/>
      <c r="FW23" s="222"/>
      <c r="FX23" s="222"/>
      <c r="FY23" s="222"/>
      <c r="FZ23" s="222"/>
      <c r="GA23" s="222"/>
      <c r="GC23" s="161"/>
      <c r="GE23" s="259"/>
      <c r="GG23" s="305"/>
      <c r="GH23" s="305"/>
      <c r="GI23" s="305"/>
      <c r="GJ23" s="305"/>
      <c r="GK23" s="305"/>
      <c r="GL23" s="305"/>
      <c r="GM23" s="305"/>
      <c r="GN23" s="305"/>
      <c r="GO23" s="306"/>
      <c r="GQ23" s="305"/>
      <c r="GR23" s="305"/>
      <c r="GS23" s="305"/>
      <c r="GT23" s="305"/>
      <c r="GU23" s="305"/>
      <c r="GV23" s="307"/>
      <c r="GW23" s="307"/>
      <c r="GX23" s="305"/>
      <c r="GY23" s="305"/>
      <c r="GZ23" s="305"/>
      <c r="HA23" s="305"/>
      <c r="HB23" s="305"/>
      <c r="HC23" s="305"/>
      <c r="HD23" s="679"/>
      <c r="HE23" s="57" t="e">
        <f t="shared" si="7"/>
        <v>#VALUE!</v>
      </c>
      <c r="HF23" s="57" t="e">
        <f t="shared" si="8"/>
        <v>#VALUE!</v>
      </c>
      <c r="HG23" s="525" t="e">
        <f t="shared" si="9"/>
        <v>#VALUE!</v>
      </c>
      <c r="HH23" s="57" t="e">
        <f t="shared" si="10"/>
        <v>#VALUE!</v>
      </c>
      <c r="HL23" s="682" t="s">
        <v>49</v>
      </c>
      <c r="HM23" s="683"/>
      <c r="HN23" s="683"/>
      <c r="HO23" s="683"/>
      <c r="HP23" s="683"/>
      <c r="HQ23" s="683"/>
      <c r="HR23" s="683"/>
      <c r="HS23" s="683"/>
      <c r="HT23" s="683"/>
      <c r="HU23" s="683"/>
      <c r="HV23" s="683"/>
      <c r="HW23" s="683"/>
      <c r="HX23" s="683"/>
      <c r="HY23" s="683"/>
      <c r="HZ23" s="683"/>
      <c r="IA23" s="683"/>
      <c r="IB23" s="683"/>
      <c r="IC23" s="683"/>
      <c r="IE23" s="161"/>
      <c r="IG23" s="259"/>
      <c r="II23" s="305"/>
      <c r="IJ23" s="305"/>
    </row>
    <row r="24" spans="2:244" ht="15" customHeight="1" x14ac:dyDescent="0.25">
      <c r="B24" s="195">
        <f>IF($AL$5=1,$C24/10,IF($AL$5=2,$C24/10,IF($AL$5=3,0,IF($AL$5=4,$C24/10,))))</f>
        <v>0.2</v>
      </c>
      <c r="C24" s="336">
        <v>2</v>
      </c>
      <c r="D24" s="329">
        <f t="shared" ref="D24:D30" si="23">IF(Geg_dP&lt;AB24,((($BK$24*($N24/Cubics)^4+$BK$25*($N24/Cubics)^3+$BK$27*($N24/Cubics)^2+$BK$29*($N24/Cubics)^1+$BK$30)*((CF_Regime_Heat_noExp)^$AA24)))*CF_Addit*Watts*CF_Altit,Lim_dP)</f>
        <v>2414.0554127831469</v>
      </c>
      <c r="E24" s="30">
        <f t="shared" ref="E24:E30" si="24">IF(Geg_dP&lt;$AB24,ROUND((($D24/Watts)/((Tv_heat-Tr_heat)*1.163))*FlowH2O,IF(UnitsNo=1,0,IF(UnitsNo=2,2))),"")</f>
        <v>208</v>
      </c>
      <c r="F24" s="330">
        <f t="shared" ref="F24:F30" si="25">IF(Geg_dP&lt;$AB24,IF((($BM$24*(E24/FlowH2O)^$BM$25))*kPa&gt;0,(($BM$24*(E24/FlowH2O)^$BM$25))*kPa,0),"")</f>
        <v>1.2996392386829112</v>
      </c>
      <c r="G24" s="329">
        <f t="shared" ref="G24:G30" si="26">IF(Geg_dP&lt;$AB24,((($BL$24*($N24/Cubics)^4+$BL$25*($N24/Cubics)^3+$BL$27*($N24/Cubics)^2+$BL$29*($N24/Cubics)^1+$BL$30)*((CF_Regime_Cool_noExp)^$Y24)))*CF_Addit*Watts*CF_Altit,Lim_dP)</f>
        <v>508.18297018770477</v>
      </c>
      <c r="H24" s="32">
        <f t="shared" ref="H24:H30" si="27">IF(Geg_dP&lt;$AB24,((G24/Watts)/(IF((237.3*LN((RH*EXP(17.27*(Tl_cool/(Tl_cool+237.3))))))/(17.27-LN((RH*EXP(17.27*(Tl_cool/(Tl_cool+237.3))))))&lt;EZ24,1,IF(1/(1+((2258*((0.622/((101325/(1*611*EXP(17.27*(EZ24/(EZ24+237.3))))))-1)*1000-(0.622/((101325/(RH*611*EXP(17.27*(Tl_cool/(Tl_cool+237.3))))))-1)*1000))/(1005*(Tavg_cold-Tl_cool))))&gt;1,1,1/(1+((2258*((0.622/((101325/(1*611*EXP(17.27*(EZ24/(EZ24+237.3))))))-1)*1000-(0.622/((101325/(RH*611*EXP(17.27*(Tl_cool/(Tl_cool+237.3))))))-1)*1000))/(1005*(Tavg_cold-Tl_cool))))))))*Watts,"")</f>
        <v>508.18297018770477</v>
      </c>
      <c r="I24" s="30">
        <f>IF(Geg_dP&lt;AB24,ROUND(((IF('Briza 22 &amp; 26'!$M$4="High Perform. 208/230V (US/EU)",cal!HK24,H24)/Watts)/((Tr_cool-Tv_cool)*1.163))*FlowH2O,IF(UnitsNo=1,0,IF(UnitsNo=2,2))),"")</f>
        <v>218</v>
      </c>
      <c r="J24" s="330">
        <f t="shared" ref="J24:J30" si="28">IF(Geg_dP&lt;$AB24,IF((($BM$29*(I24/FlowH2O)^$BM$30))*kPa&gt;0,(($BM$29*(I24/FlowH2O)^$BM$30))*kPa,0),"")</f>
        <v>1.416197316226643</v>
      </c>
      <c r="K24" s="333">
        <f t="shared" ref="K24:K30" si="29">IF(Geg_dP&lt;AB24,IF($L24-8&lt;0,0,$L24-8),"")</f>
        <v>20.5</v>
      </c>
      <c r="L24" s="297">
        <f>IF(Geg_dP&lt;$AB24,IF(CalcNo="12",$ET24,IF(CalcNo="22",$ET24,IF(CalcNo="13",$EU24,IF(CalcNo="23",$EU24,IF(CalcNo="11",$ER24,IF(CalcNo="21",$ER24,IF(CalcNo="14",$ES24,IF(CalcNo="24",$ES24,IF(CalcNo="32",$EX24,IF(CalcNo="42",$EX24,IF(CalcNo="33",$EY24,IF(CalcNo="43",$EY24,IF(CalcNo="31",$EV24,IF(CalcNo="41",$EV24,IF(CalcNo="34",$EW24,IF(CalcNo="44",$EW24,)))))))))))))))),"")</f>
        <v>28.5</v>
      </c>
      <c r="M24" s="198">
        <f t="shared" ref="M24:M29" si="30">IF(Geg_dP&lt;$AB24,($CF24*(($N24/Cubics)^4))+($CG24*(($N24/Cubics)^3))+($CH24*(($N24/Cubics)^2))+($CI24*($N24/Cubics))+$CJ24,"")</f>
        <v>3.6631675496846254</v>
      </c>
      <c r="N24" s="197">
        <f t="shared" ref="N24:N30" si="31">IF(Geg_dP&lt;$AB24,(BZ24*Geg_dP^5+CA24*Geg_dP^4+CB24*Geg_dP^3+CC24*Geg_dP^2+CD24*Geg_dP+CE24)*CF_Case*Cubics,"")</f>
        <v>178.41426200000001</v>
      </c>
      <c r="O24" s="480">
        <f t="shared" ref="O24:O30" si="32">IF(Geg_dP&lt;$AB24,(($N24/Cubics)/3600)/(($BJ$31/100)*($BP$31/100))*FeetMins,"")</f>
        <v>0.30036071043771045</v>
      </c>
      <c r="P24" s="198">
        <f t="shared" ref="P24:P30" si="33">IF(Geg_dP&lt;$AB24,((($D24/Watts)/(((p_atm*0.028964)/(8.31447*(20+273.15)))*(($N24/3600)/Cubics)*(1005+1870*((0.622)/(((p_atm)/($E$14*pvs_heat_in))-1)))))+Tl_heat)*Celc1+Celc2,"")</f>
        <v>59.716727306739827</v>
      </c>
      <c r="Q24" s="297">
        <f t="shared" ref="Q24:Q30" si="34">IF(Geg_dP&lt;$AB24,(27.8*LN(($GN24+36)/45.5))*Celc1+Celc2,"")</f>
        <v>25.763243078198879</v>
      </c>
      <c r="R24" s="509">
        <f t="shared" ref="R24:R30" si="35">IF(Geg_dP&lt;$AB24,(Tl_cool-(($G24/Watts)/(1006*$N24*kgss)))*Celc1+Celc2,"")</f>
        <v>18.534188923730937</v>
      </c>
      <c r="S24" s="36">
        <f t="shared" ref="S24:S30" si="36">IF(Geg_dP&lt;$AB24,IF((27.8*LN(($HA24+36)/45.5))*Celc1+Celc2&gt;R24,R24,(27.8*LN(($HA24+36)/45.5))*Celc1+Celc2),"")</f>
        <v>16.642206804974531</v>
      </c>
      <c r="T24" s="300">
        <f t="shared" ref="T24:T30" si="37">IF(Geg_dP&lt;$AB24,IF($H24&gt;$G24,1,IF(($GT24/$GR24)&lt;0,0,$GT24/$GR24)),"")</f>
        <v>0.834636453120847</v>
      </c>
      <c r="U24" s="416">
        <f t="shared" ref="U24:U30" si="38">IF(Geg_dP&lt;$AB24,$CK24*($N24/Cubics)^2+$CL24*($N24/Cubics)^1+$CM24,"")</f>
        <v>438.32061882550522</v>
      </c>
      <c r="V24" s="483">
        <f t="shared" ref="V24:V30" si="39">M24/((N24/Cubics)/3.6)</f>
        <v>7.3914512388391071E-2</v>
      </c>
      <c r="W24" s="513">
        <f t="shared" ref="W24:W30" si="40">(G24/Watts)/(N24/Cubics)</f>
        <v>2.8483315430674749</v>
      </c>
      <c r="X24" s="56">
        <f t="shared" si="1"/>
        <v>0.98022799999999999</v>
      </c>
      <c r="Y24" s="56">
        <f t="shared" si="2"/>
        <v>1.2901100000000001</v>
      </c>
      <c r="Z24" s="56">
        <f t="shared" si="2"/>
        <v>1.13171</v>
      </c>
      <c r="AA24" s="56">
        <f t="shared" si="13"/>
        <v>0.98022799999999999</v>
      </c>
      <c r="AB24" s="56">
        <f t="shared" si="14"/>
        <v>9.74</v>
      </c>
      <c r="AC24" s="95">
        <v>0.98022799999999999</v>
      </c>
      <c r="AD24" s="153">
        <v>1.2901100000000001</v>
      </c>
      <c r="AE24" s="95">
        <v>1.13171</v>
      </c>
      <c r="AF24" s="96">
        <v>5</v>
      </c>
      <c r="AG24" s="95">
        <v>0.98022799999999999</v>
      </c>
      <c r="AH24" s="153">
        <v>1.2901100000000001</v>
      </c>
      <c r="AI24" s="95">
        <v>1.13171</v>
      </c>
      <c r="AJ24" s="486">
        <v>7.5</v>
      </c>
      <c r="AK24" s="487">
        <v>0.98022799999999999</v>
      </c>
      <c r="AL24" s="487">
        <v>1.2901100000000001</v>
      </c>
      <c r="AM24" s="487">
        <v>1.13171</v>
      </c>
      <c r="AN24" s="486">
        <v>9.74</v>
      </c>
      <c r="AO24" s="487">
        <v>1.0471988669409447</v>
      </c>
      <c r="AP24" s="487">
        <v>1.2021874904764758</v>
      </c>
      <c r="AQ24" s="487">
        <v>1.1584541354089894</v>
      </c>
      <c r="AR24" s="486">
        <v>20.68</v>
      </c>
      <c r="AS24" s="488"/>
      <c r="AT24" s="488"/>
      <c r="AU24" s="488"/>
      <c r="AV24" s="488">
        <v>1000</v>
      </c>
      <c r="AW24" s="488"/>
      <c r="AX24" s="488"/>
      <c r="AY24" s="488"/>
      <c r="AZ24" s="488">
        <v>1000</v>
      </c>
      <c r="BA24" s="97"/>
      <c r="BB24" s="97"/>
      <c r="BC24" s="97"/>
      <c r="BD24" s="97">
        <v>1000</v>
      </c>
      <c r="BE24" s="97"/>
      <c r="BF24" s="97"/>
      <c r="BG24" s="97"/>
      <c r="BH24" s="97">
        <v>1000</v>
      </c>
      <c r="BJ24" s="182"/>
      <c r="BK24" s="80">
        <f t="shared" ref="BK24:BM25" si="41">IF($BK$17="11",BN24,IF($BK$17="21",BQ24,IF($BK$17="12",BN24,IF($BK$17="22",BQ24,IF($BK$17="13",BN24,IF($BK$17="23",BQ24,IF($BK$17="14",BN24,IF($BK$17="24",BQ24,IF($BK$17="31",BT24,IF($BK$17="41",BW24,IF($BK$17="32",BT24,IF($BK$17="42",BW24,IF($BK$17="33",BT24,IF($BK$17="43",BW24,IF($BK$17="34",BT24,IF($BK$17="44",BW24,))))))))))))))))</f>
        <v>0</v>
      </c>
      <c r="BL24" s="81">
        <f t="shared" si="41"/>
        <v>0</v>
      </c>
      <c r="BM24" s="87">
        <f t="shared" si="41"/>
        <v>7.4795075673250196E-5</v>
      </c>
      <c r="BN24" s="97"/>
      <c r="BO24" s="97"/>
      <c r="BP24" s="105">
        <f>BP29</f>
        <v>7.4795075673250196E-5</v>
      </c>
      <c r="BQ24" s="97"/>
      <c r="BR24" s="97">
        <f>BO24</f>
        <v>0</v>
      </c>
      <c r="BS24" s="105">
        <v>6.8063317012543245E-4</v>
      </c>
      <c r="BT24" s="97">
        <v>0</v>
      </c>
      <c r="BU24" s="97">
        <v>0</v>
      </c>
      <c r="BV24" s="97">
        <v>0</v>
      </c>
      <c r="BW24" s="97">
        <v>0</v>
      </c>
      <c r="BX24" s="97">
        <v>0</v>
      </c>
      <c r="BY24" s="97">
        <v>0</v>
      </c>
      <c r="BZ24" s="128">
        <f t="shared" ref="BZ24:CE30" si="42">IF($BK$17="11",CN24,IF($BK$17="21",CN24,IF($BK$17="12",DP24,IF($BK$17="22",DP24,IF($BK$17="13",ED24,IF($BK$17="23",ED24,IF($BK$17="14",DB24,IF($BK$17="24",DB24,IF($BK$17="31",0,IF($BK$17="41",0,IF($BK$17="32",0,IF($BK$17="42",0,IF($BK$17="33",0,IF($BK$17="43",0,IF($BK$17="34",DB24,IF($BK$17="44",DB24,))))))))))))))))</f>
        <v>0</v>
      </c>
      <c r="CA24" s="129">
        <f t="shared" si="42"/>
        <v>5.8292138999999996E-3</v>
      </c>
      <c r="CB24" s="129">
        <f t="shared" si="42"/>
        <v>-0.13219182099999999</v>
      </c>
      <c r="CC24" s="129">
        <f t="shared" si="42"/>
        <v>0.77241681600000001</v>
      </c>
      <c r="CD24" s="129">
        <f t="shared" si="42"/>
        <v>-14.4365366</v>
      </c>
      <c r="CE24" s="129">
        <f t="shared" si="42"/>
        <v>178.41426200000001</v>
      </c>
      <c r="CF24" s="128">
        <f t="shared" ref="CF24:CI25" si="43">IF($BK$17="11",CT24,IF($BK$17="21",CT24,IF($BK$17="12",DV24,IF($BK$17="22",DV24,IF($BK$17="13",EJ24,IF($BK$17="23",EJ24,IF($BK$17="14",DH24,IF($BK$17="24",DH24,IF($BK$17="31",0,IF($BK$17="41",0,IF($BK$17="32",0,IF($BK$17="42",0,IF($BK$17="33",0,IF($BK$17="43",0,IF($BK$17="34",DH24,IF($BK$17="44",DH24,))))))))))))))))</f>
        <v>0</v>
      </c>
      <c r="CG24" s="129">
        <f t="shared" si="43"/>
        <v>-2.83558633E-8</v>
      </c>
      <c r="CH24" s="129">
        <f t="shared" si="43"/>
        <v>2.0903085199999999E-5</v>
      </c>
      <c r="CI24" s="129">
        <f t="shared" si="43"/>
        <v>1.08425021E-3</v>
      </c>
      <c r="CJ24" s="129">
        <f t="shared" ref="CJ24:CM30" si="44">IF($BK$17="11",CX24,IF($BK$17="21",CX24,IF($BK$17="12",DZ24,IF($BK$17="22",DZ24,IF($BK$17="13",EN24,IF($BK$17="23",EN24,IF($BK$17="14",DL24,IF($BK$17="24",DL24,IF($BK$17="31",0,IF($BK$17="41",0,IF($BK$17="32",0,IF($BK$17="42",0,IF($BK$17="33",0,IF($BK$17="43",0,IF($BK$17="34",DL24,IF($BK$17="44",DL24,))))))))))))))))</f>
        <v>2.9653813699999998</v>
      </c>
      <c r="CK24" s="128">
        <f t="shared" si="44"/>
        <v>-6.8689156300000005E-4</v>
      </c>
      <c r="CL24" s="129">
        <f t="shared" si="44"/>
        <v>-0.26542441500000002</v>
      </c>
      <c r="CM24" s="130">
        <f t="shared" si="44"/>
        <v>507.54101100000003</v>
      </c>
      <c r="CN24" s="356"/>
      <c r="CO24" s="110">
        <v>2.2470329899999999E-2</v>
      </c>
      <c r="CP24" s="110">
        <v>-0.303198405</v>
      </c>
      <c r="CQ24" s="110">
        <v>1.2882610800000001</v>
      </c>
      <c r="CR24" s="110">
        <v>-16.7626749</v>
      </c>
      <c r="CS24" s="111">
        <v>79.6893642</v>
      </c>
      <c r="CT24" s="356"/>
      <c r="CU24" s="112">
        <v>-1.6212434100000001E-8</v>
      </c>
      <c r="CV24" s="110">
        <v>2.1375237999999999E-5</v>
      </c>
      <c r="CW24" s="110">
        <v>5.8608822699999998E-4</v>
      </c>
      <c r="CX24" s="111">
        <v>2.1511082400000001</v>
      </c>
      <c r="CY24" s="110">
        <v>-5.1054875100000003E-4</v>
      </c>
      <c r="CZ24" s="110">
        <v>-6.3275834399999994E-2</v>
      </c>
      <c r="DA24" s="421">
        <v>341.33338500000002</v>
      </c>
      <c r="DB24" s="356"/>
      <c r="DC24" s="110">
        <v>3.0183497699999999E-2</v>
      </c>
      <c r="DD24" s="110">
        <v>-0.414313879</v>
      </c>
      <c r="DE24" s="110">
        <v>1.2727269400000001</v>
      </c>
      <c r="DF24" s="110">
        <v>-16.512345199999999</v>
      </c>
      <c r="DG24" s="111">
        <v>137.55778900000001</v>
      </c>
      <c r="DH24" s="356"/>
      <c r="DI24" s="112">
        <v>-2.1725129099999999E-7</v>
      </c>
      <c r="DJ24" s="110">
        <v>5.5856800500000002E-5</v>
      </c>
      <c r="DK24" s="110">
        <v>-2.13436315E-4</v>
      </c>
      <c r="DL24" s="111">
        <v>2.6013397600000001</v>
      </c>
      <c r="DM24" s="110">
        <v>-3.4233466400000002E-4</v>
      </c>
      <c r="DN24" s="110">
        <v>-0.10814573299999999</v>
      </c>
      <c r="DO24" s="421">
        <v>401.27763199999998</v>
      </c>
      <c r="DP24" s="420"/>
      <c r="DQ24" s="110">
        <v>5.8292138999999996E-3</v>
      </c>
      <c r="DR24" s="110">
        <v>-0.13219182099999999</v>
      </c>
      <c r="DS24" s="110">
        <v>0.77241681600000001</v>
      </c>
      <c r="DT24" s="110">
        <v>-14.4365366</v>
      </c>
      <c r="DU24" s="111">
        <v>178.41426200000001</v>
      </c>
      <c r="DV24" s="376"/>
      <c r="DW24" s="125">
        <v>-2.83558633E-8</v>
      </c>
      <c r="DX24" s="121">
        <v>2.0903085199999999E-5</v>
      </c>
      <c r="DY24" s="121">
        <v>1.08425021E-3</v>
      </c>
      <c r="DZ24" s="122">
        <v>2.9653813699999998</v>
      </c>
      <c r="EA24" s="110">
        <v>-6.8689156300000005E-4</v>
      </c>
      <c r="EB24" s="110">
        <v>-0.26542441500000002</v>
      </c>
      <c r="EC24" s="421">
        <v>507.54101100000003</v>
      </c>
      <c r="ED24" s="420"/>
      <c r="EE24" s="110">
        <v>1.4625932599999999E-3</v>
      </c>
      <c r="EF24" s="110">
        <v>-6.4513520599999999E-2</v>
      </c>
      <c r="EG24" s="110">
        <v>0.76170157100000002</v>
      </c>
      <c r="EH24" s="110">
        <v>-14.277566200000001</v>
      </c>
      <c r="EI24" s="111">
        <v>307.39181000000002</v>
      </c>
      <c r="EJ24" s="376"/>
      <c r="EK24" s="112">
        <v>-1.11250677E-7</v>
      </c>
      <c r="EL24" s="110">
        <v>7.6160140100000004E-5</v>
      </c>
      <c r="EM24" s="110">
        <v>-3.1607072900000002E-3</v>
      </c>
      <c r="EN24" s="111">
        <v>8.6360274500000003</v>
      </c>
      <c r="EO24" s="394">
        <v>-1.3658771600000001E-4</v>
      </c>
      <c r="EP24" s="394">
        <v>-9.0412438799999995E-2</v>
      </c>
      <c r="EQ24" s="430">
        <v>666.12553800000001</v>
      </c>
      <c r="ER24" s="137">
        <v>28.5</v>
      </c>
      <c r="ES24" s="362"/>
      <c r="ET24" s="137">
        <v>28.5</v>
      </c>
      <c r="EU24" s="362"/>
      <c r="EV24" s="137">
        <f>ER24-5</f>
        <v>23.5</v>
      </c>
      <c r="EW24" s="362"/>
      <c r="EX24" s="363"/>
      <c r="EY24" s="364"/>
      <c r="EZ24" s="137">
        <f t="shared" ref="EZ24:EZ30" si="45">IF($BK$17="11",FA24,IF($BK$17="21",FA24,IF($BK$17="12",FC24,IF($BK$17="22",FC24,IF($BK$17="13",FD24,IF($BK$17="23",FD24,IF($BK$17="14",FB24,IF($BK$17="24",FB24,IF($BK$17="31",FE24,IF($BK$17="41",FE24,IF($BK$17="32",FG24,IF($BK$17="42",FG24,IF($BK$17="33",FH24,IF($BK$17="43",FH24,IF($BK$17="34",FF24,IF($BK$17="44",FF24,))))))))))))))))</f>
        <v>17.5</v>
      </c>
      <c r="FA24" s="143">
        <f>Tavg_cold</f>
        <v>17</v>
      </c>
      <c r="FB24" s="143">
        <f t="shared" ref="FB24:FD28" si="46">IF($GC24&lt;=$FC24,$FC24,IF($FM24&lt;=$FP24,$FC24,$FZ24))</f>
        <v>17.5</v>
      </c>
      <c r="FC24" s="143">
        <f t="shared" ref="FC24:FC30" si="47">IF($N24&gt;$FN24,Tavg_cold+(0.5*(Tr_cool-Tavg_cold)),Tavg_cold+($FJ24*(Tr_cool-Tavg_cold)))</f>
        <v>17.5</v>
      </c>
      <c r="FD24" s="143">
        <f t="shared" si="46"/>
        <v>17.5</v>
      </c>
      <c r="FE24" s="347"/>
      <c r="FF24" s="348"/>
      <c r="FG24" s="348"/>
      <c r="FH24" s="349"/>
      <c r="FJ24" s="344">
        <f t="shared" ref="FJ24:FJ30" si="48">0.5*(1-((FN24-N24)/FN24))</f>
        <v>0.5</v>
      </c>
      <c r="FK24" s="241">
        <f t="shared" ref="FK24:FK30" si="49">(0.025*Tl_cool)+0.5</f>
        <v>1.175</v>
      </c>
      <c r="FL24" s="400"/>
      <c r="FM24" s="230">
        <f>FQ24/FO24</f>
        <v>0.58041319318169216</v>
      </c>
      <c r="FN24" s="226">
        <f>DU24</f>
        <v>178.41426200000001</v>
      </c>
      <c r="FO24" s="226">
        <f>EI24</f>
        <v>307.39181000000002</v>
      </c>
      <c r="FP24" s="222">
        <f>FN24/FO24</f>
        <v>0.58041319318169216</v>
      </c>
      <c r="FQ24" s="238">
        <f t="shared" ref="FQ24:FQ30" si="50">N24/Cubics</f>
        <v>178.41426200000001</v>
      </c>
      <c r="FR24" s="241">
        <f t="shared" ref="FR24:FR30" si="51">IF(FQ24-(FP24*FO24)&lt;=0,0,FQ24-(FP24*FO24))</f>
        <v>0</v>
      </c>
      <c r="FS24" s="242">
        <f>FO24*(1-FP24)</f>
        <v>128.97754799999998</v>
      </c>
      <c r="FT24" s="248">
        <f>IF((FR24/FS24)&gt;1,1,FR24/FS24)</f>
        <v>0</v>
      </c>
      <c r="FU24" s="224">
        <f>FC24</f>
        <v>17.5</v>
      </c>
      <c r="FV24" s="219">
        <f t="shared" ref="FV24:FV30" si="52">Tr_cool*FK24</f>
        <v>21.150000000000002</v>
      </c>
      <c r="FW24" s="224">
        <f>ABS(FV24-FU24)</f>
        <v>3.6500000000000021</v>
      </c>
      <c r="FX24" s="402"/>
      <c r="FY24" s="402"/>
      <c r="FZ24" s="224">
        <f>IF(FM24&lt;=FP24,FU24,FU24+(FT24*FW24))</f>
        <v>17.5</v>
      </c>
      <c r="GA24" s="402"/>
      <c r="GC24" s="161">
        <f t="shared" ref="GC24:GC30" si="53">(237.3*LN((RH*EXP(17.27*(Tl_cool/(Tl_cool+237.3))))))/(17.27-LN((RH*EXP(17.27*(Tl_cool/(Tl_cool+237.3))))))</f>
        <v>15.69066559142683</v>
      </c>
      <c r="GE24" s="259">
        <f t="shared" ref="GE24:GE30" si="54">(H24-G24)/H24</f>
        <v>0</v>
      </c>
      <c r="GG24" s="305">
        <f t="shared" ref="GG24:GG30" si="55">(611*EXP(17.27*(Tl_heat/(Tl_heat+237.7))))</f>
        <v>2334.1781978570243</v>
      </c>
      <c r="GH24" s="305">
        <f t="shared" ref="GH24:GH30" si="56">(611*EXP(17.27*((($P24-Celc2)/Celc1)/((($P24-Celc2)/Celc1)+237.7))))</f>
        <v>19587.534864333866</v>
      </c>
      <c r="GI24" s="305">
        <f t="shared" ref="GI24:GI30" si="57">RH*$GG24</f>
        <v>1167.0890989285122</v>
      </c>
      <c r="GJ24" s="305">
        <f t="shared" ref="GJ24:GJ30" si="58">(GL24*p_atm)/(GL24+0.622)</f>
        <v>1167.0890989285119</v>
      </c>
      <c r="GK24" s="305">
        <f t="shared" ref="GK24:GK30" si="59">0.622*($GI24/(p_atm-$GI24))</f>
        <v>7.2478490515896785E-3</v>
      </c>
      <c r="GL24" s="305">
        <f t="shared" si="15"/>
        <v>7.2478490515896785E-3</v>
      </c>
      <c r="GM24" s="305">
        <f t="shared" ref="GM24:GM30" si="60">(1.005*Tl_heat)+($GK24*(2500+(1.87*Tl_heat)))</f>
        <v>38.490692183503647</v>
      </c>
      <c r="GN24" s="305">
        <f t="shared" ref="GN24:GN30" si="61">(1.005*(($P24-Celc2)/Celc1))+($GL24*(2500+(1.87*(($P24-Celc2)/Celc1))))</f>
        <v>78.944302905697455</v>
      </c>
      <c r="GO24" s="306">
        <f t="shared" si="16"/>
        <v>5.9583255729316727E-2</v>
      </c>
      <c r="GQ24" s="305">
        <f t="shared" ref="GQ24:GQ30" si="62">(611*EXP(17.27*(Tl_cool/(Tl_cool+237.7))))</f>
        <v>3557.0118570174286</v>
      </c>
      <c r="GR24" s="305">
        <f t="shared" ref="GR24:GR30" si="63">(611*EXP(17.27*((($R24-Celc2)/Celc1)/((($R24-Celc2)/Celc1)+237.7))))</f>
        <v>2130.8749718018898</v>
      </c>
      <c r="GS24" s="305">
        <f t="shared" ref="GS24:GS30" si="64">RH*$GQ24</f>
        <v>1778.5059285087143</v>
      </c>
      <c r="GT24" s="305">
        <f t="shared" ref="GT24:GT30" si="65">(GW24*p_atm)/(GW24+0.622)</f>
        <v>1778.5059285087143</v>
      </c>
      <c r="GU24" s="305">
        <f t="shared" ref="GU24:GU30" si="66">T24*GR24</f>
        <v>1778.5059285087143</v>
      </c>
      <c r="GV24" s="307">
        <f t="shared" ref="GV24:GV30" si="67">0.622*($GS24/(p_atm-$GS24))</f>
        <v>1.1112703645172665E-2</v>
      </c>
      <c r="GW24" s="307">
        <f t="shared" ref="GW24:GW30" si="68">IF(H24=G24,GV24,(0.53475935828878*($GZ24-(1.005*(($R24-Celc2)/Celc1))))/(1336.8983957219))</f>
        <v>1.1112703645172665E-2</v>
      </c>
      <c r="GX24" s="305">
        <f t="shared" ref="GX24:GX30" si="69">0.622*($GU24/(p_atm-$GU24))</f>
        <v>1.1112703645172665E-2</v>
      </c>
      <c r="GY24" s="305">
        <f t="shared" ref="GY24:GY30" si="70">(1.005*Tl_cool)+($GV24*(2500+(1.87*Tl_cool)))</f>
        <v>55.477839519976428</v>
      </c>
      <c r="GZ24" s="305">
        <f t="shared" ref="GZ24:GZ30" si="71">GY24-((((H24-G24)/Watts)/1000)/(N24/$L$15))</f>
        <v>55.477839519976428</v>
      </c>
      <c r="HA24" s="305">
        <f t="shared" ref="HA24:HA30" si="72">(1.005*(($R24-Celc2)/Celc1))+($GX24*(2500+(1.87*(($R24-Celc2)/Celc1))))</f>
        <v>46.793773435561683</v>
      </c>
      <c r="HB24" s="305">
        <f t="shared" si="17"/>
        <v>19.415087041495514</v>
      </c>
      <c r="HC24" s="305">
        <f t="shared" si="18"/>
        <v>19.415087041495514</v>
      </c>
      <c r="HD24" s="529">
        <f t="shared" ref="HD24:HD30" si="73">H24</f>
        <v>508.18297018770477</v>
      </c>
      <c r="HE24" s="57">
        <f t="shared" si="7"/>
        <v>178.41426200000001</v>
      </c>
      <c r="HF24" s="57">
        <f t="shared" ref="HF24:HF30" si="74">IF(Geg_dP&lt;$AB24,((($BL$24*($HE24/Cubics)^4+$BL$25*($HE24/Cubics)^3+$BL$27*($HE24/Cubics)^2+$BL$29*($HE24/Cubics)^1+$BL$30)*((CF_Regime_Cool_noExp)^$Y24)))*CF_Addit*Watts*CF_Altit,Lim_dP)</f>
        <v>508.18297018770477</v>
      </c>
      <c r="HG24" s="525">
        <f t="shared" si="9"/>
        <v>17.5</v>
      </c>
      <c r="HH24" s="57">
        <f t="shared" si="10"/>
        <v>17.5</v>
      </c>
      <c r="HI24" s="503">
        <f t="shared" ref="HI24:HI62" si="75">IF(Geg_dP&lt;$AB24,((HF24/Watts)/(IF((237.3*LN((RH*EXP(17.27*(Tl_cool/(Tl_cool+237.3))))))/(17.27-LN((RH*EXP(17.27*(Tl_cool/(Tl_cool+237.3))))))&lt;HH24,1,IF(1/(1+((2258*((0.622/((101325/(1*611*EXP(17.27*(HH24/(HH24+237.3))))))-1)*1000-(0.622/((101325/(RH*611*EXP(17.27*(Tl_cool/(Tl_cool+237.3))))))-1)*1000))/(1005*(Tavg_cold-Tl_cool))))&gt;1,1,1/(1+((2258*((0.622/((101325/(1*611*EXP(17.27*(HH24/(HH24+237.3))))))-1)*1000-(0.622/((101325/(RH*611*EXP(17.27*(Tl_cool/(Tl_cool+237.3))))))-1)*1000))/(1005*(Tavg_cold-Tl_cool))))))))*Watts,"")</f>
        <v>508.18297018770477</v>
      </c>
      <c r="HJ24" s="2">
        <f>HI24/HF24</f>
        <v>1</v>
      </c>
      <c r="HK24" s="503">
        <f t="shared" ref="HK24:HK62" si="76">HJ24*G24</f>
        <v>508.18297018770477</v>
      </c>
      <c r="HL24" s="344">
        <f t="shared" ref="HL24:HL30" si="77">0.5*(1-((HP24-HE24)/HP24))</f>
        <v>0.5</v>
      </c>
      <c r="HM24" s="241">
        <f t="shared" ref="HM24:HM30" si="78">(0.025*Tl_cool)+0.5</f>
        <v>1.175</v>
      </c>
      <c r="HN24" s="400"/>
      <c r="HO24" s="230">
        <f>HS24/HQ24</f>
        <v>0.58041319318169216</v>
      </c>
      <c r="HP24" s="226">
        <f t="shared" ref="HP24:HP30" si="79">DU24</f>
        <v>178.41426200000001</v>
      </c>
      <c r="HQ24" s="226">
        <f t="shared" ref="HQ24:HQ62" si="80">EI24</f>
        <v>307.39181000000002</v>
      </c>
      <c r="HR24" s="222">
        <f>HP24/HQ24</f>
        <v>0.58041319318169216</v>
      </c>
      <c r="HS24" s="251">
        <f t="shared" si="11"/>
        <v>178.41426200000001</v>
      </c>
      <c r="HT24" s="241">
        <f t="shared" ref="HT24:HT30" si="81">IF(HS24-(HR24*HQ24)&lt;=0,0,HS24-(HR24*HQ24))</f>
        <v>0</v>
      </c>
      <c r="HU24" s="242">
        <f>HQ24*(1-HR24)</f>
        <v>128.97754799999998</v>
      </c>
      <c r="HV24" s="248">
        <f>IF((HT24/HU24)&gt;1,1,HT24/HU24)</f>
        <v>0</v>
      </c>
      <c r="HW24" s="224">
        <f t="shared" si="12"/>
        <v>17.5</v>
      </c>
      <c r="HX24" s="219">
        <f t="shared" ref="HX24:HX30" si="82">Tr_cool*HM24</f>
        <v>21.150000000000002</v>
      </c>
      <c r="HY24" s="224">
        <f>ABS(HX24-HW24)</f>
        <v>3.6500000000000021</v>
      </c>
      <c r="HZ24" s="402"/>
      <c r="IA24" s="402"/>
      <c r="IB24" s="224">
        <f>IF(HO24&lt;=HR24,HW24,HW24+(HV24*HY24))</f>
        <v>17.5</v>
      </c>
      <c r="IC24" s="402"/>
      <c r="IE24" s="161">
        <f t="shared" ref="IE24:IE30" si="83">(237.3*LN((RH*EXP(17.27*(Tl_cool/(Tl_cool+237.3))))))/(17.27-LN((RH*EXP(17.27*(Tl_cool/(Tl_cool+237.3))))))</f>
        <v>15.69066559142683</v>
      </c>
      <c r="IG24" s="259" t="e">
        <f t="shared" ref="IG24:IG30" si="84">(BG24-BF24)/BG24</f>
        <v>#DIV/0!</v>
      </c>
      <c r="II24" s="305">
        <f t="shared" ref="II24:II30" si="85">(611*EXP(17.27*(Tl_heat/(Tl_heat+237.7))))</f>
        <v>2334.1781978570243</v>
      </c>
      <c r="IJ24" s="305">
        <f t="shared" ref="IJ24:IJ30" si="86">(611*EXP(17.27*((($P24-Celc2)/Celc1)/((($P24-Celc2)/Celc1)+237.7))))</f>
        <v>19587.534864333866</v>
      </c>
    </row>
    <row r="25" spans="2:244" ht="15" customHeight="1" x14ac:dyDescent="0.25">
      <c r="B25" s="195">
        <f>IF($AL$5=1,$C25/10,IF($AL$5=2,$C25/10,IF($AL$5=3,0,IF($AL$5=4,$C25/10,))))</f>
        <v>0.4</v>
      </c>
      <c r="C25" s="336">
        <v>4</v>
      </c>
      <c r="D25" s="329">
        <f t="shared" si="23"/>
        <v>4256.2486190778027</v>
      </c>
      <c r="E25" s="172">
        <f t="shared" si="24"/>
        <v>366</v>
      </c>
      <c r="F25" s="330">
        <f t="shared" si="25"/>
        <v>3.6535438340251858</v>
      </c>
      <c r="G25" s="329">
        <f t="shared" si="26"/>
        <v>870.4079031708319</v>
      </c>
      <c r="H25" s="32">
        <f t="shared" si="27"/>
        <v>870.4079031708319</v>
      </c>
      <c r="I25" s="30">
        <f>IF(Geg_dP&lt;AB25,ROUND(((IF('Briza 22 &amp; 26'!$M$4="High Perform. 208/230V (US/EU)",cal!HK25,H25)/Watts)/((Tr_cool-Tv_cool)*1.163))*FlowH2O,IF(UnitsNo=1,0,IF(UnitsNo=2,2))),"")</f>
        <v>374</v>
      </c>
      <c r="J25" s="330">
        <f t="shared" si="28"/>
        <v>3.8009349421834946</v>
      </c>
      <c r="K25" s="333">
        <f t="shared" si="29"/>
        <v>29.5</v>
      </c>
      <c r="L25" s="297">
        <f>IF(Geg_dP&lt;$AB25,IF(CalcNo="12",$ET25,IF(CalcNo="22",$ET25,IF(CalcNo="13",$EU25,IF(CalcNo="23",$EU25,IF(CalcNo="11",$ER25,IF(CalcNo="21",$ER25,IF(CalcNo="14",$ES25,IF(CalcNo="24",$ES25,IF(CalcNo="32",$EX25,IF(CalcNo="42",$EX25,IF(CalcNo="33",$EY25,IF(CalcNo="43",$EY25,IF(CalcNo="31",$EV25,IF(CalcNo="41",$EV25,IF(CalcNo="34",$EW25,IF(CalcNo="44",$EW25,)))))))))))))))),"")</f>
        <v>37.5</v>
      </c>
      <c r="M25" s="198">
        <f t="shared" si="30"/>
        <v>8.8195356743565227</v>
      </c>
      <c r="N25" s="197">
        <f t="shared" si="31"/>
        <v>326.678518</v>
      </c>
      <c r="O25" s="480">
        <f t="shared" si="32"/>
        <v>0.54996383501683499</v>
      </c>
      <c r="P25" s="198">
        <f t="shared" si="33"/>
        <v>58.243902276633726</v>
      </c>
      <c r="Q25" s="297">
        <f t="shared" si="34"/>
        <v>25.398033731739829</v>
      </c>
      <c r="R25" s="509">
        <f t="shared" si="35"/>
        <v>19.080818765833964</v>
      </c>
      <c r="S25" s="36">
        <f t="shared" si="36"/>
        <v>16.829848135327037</v>
      </c>
      <c r="T25" s="300">
        <f t="shared" si="37"/>
        <v>0.80665129022977722</v>
      </c>
      <c r="U25" s="416">
        <f t="shared" si="38"/>
        <v>652.45927955263903</v>
      </c>
      <c r="V25" s="483">
        <f t="shared" si="39"/>
        <v>9.719135687913058E-2</v>
      </c>
      <c r="W25" s="513">
        <f t="shared" si="40"/>
        <v>2.6644173253254193</v>
      </c>
      <c r="X25" s="56">
        <f t="shared" si="1"/>
        <v>0.98022799999999999</v>
      </c>
      <c r="Y25" s="56">
        <f t="shared" si="2"/>
        <v>1.2901100000000001</v>
      </c>
      <c r="Z25" s="56">
        <f t="shared" si="2"/>
        <v>1.13171</v>
      </c>
      <c r="AA25" s="56">
        <f t="shared" si="13"/>
        <v>0.98022799999999999</v>
      </c>
      <c r="AB25" s="56">
        <f t="shared" si="14"/>
        <v>27.88</v>
      </c>
      <c r="AC25" s="95">
        <v>0.98022799999999999</v>
      </c>
      <c r="AD25" s="95">
        <v>1.2901100000000001</v>
      </c>
      <c r="AE25" s="95">
        <v>1.13171</v>
      </c>
      <c r="AF25" s="96">
        <v>17</v>
      </c>
      <c r="AG25" s="95">
        <v>0.98022799999999999</v>
      </c>
      <c r="AH25" s="95">
        <v>1.2901100000000001</v>
      </c>
      <c r="AI25" s="95">
        <v>1.13171</v>
      </c>
      <c r="AJ25" s="486">
        <v>27</v>
      </c>
      <c r="AK25" s="487">
        <v>0.98022799999999999</v>
      </c>
      <c r="AL25" s="487">
        <v>1.2901100000000001</v>
      </c>
      <c r="AM25" s="487">
        <v>1.13171</v>
      </c>
      <c r="AN25" s="486">
        <v>27.88</v>
      </c>
      <c r="AO25" s="487">
        <v>1.0471988669409447</v>
      </c>
      <c r="AP25" s="487">
        <v>1.2021874904764758</v>
      </c>
      <c r="AQ25" s="487">
        <v>1.1584541354089894</v>
      </c>
      <c r="AR25" s="486">
        <v>72.12</v>
      </c>
      <c r="AS25" s="488"/>
      <c r="AT25" s="488"/>
      <c r="AU25" s="488"/>
      <c r="AV25" s="488">
        <v>1000</v>
      </c>
      <c r="AW25" s="488"/>
      <c r="AX25" s="488"/>
      <c r="AY25" s="488"/>
      <c r="AZ25" s="488">
        <v>1000</v>
      </c>
      <c r="BA25" s="97"/>
      <c r="BB25" s="97"/>
      <c r="BC25" s="97"/>
      <c r="BD25" s="97">
        <v>1000</v>
      </c>
      <c r="BE25" s="97"/>
      <c r="BF25" s="97"/>
      <c r="BG25" s="97"/>
      <c r="BH25" s="97">
        <v>1000</v>
      </c>
      <c r="BJ25" s="182"/>
      <c r="BK25" s="82">
        <f t="shared" si="41"/>
        <v>0</v>
      </c>
      <c r="BL25" s="83">
        <f t="shared" si="41"/>
        <v>0</v>
      </c>
      <c r="BM25" s="87">
        <f t="shared" si="41"/>
        <v>1.8290914425086318</v>
      </c>
      <c r="BN25" s="97"/>
      <c r="BO25" s="97"/>
      <c r="BP25" s="106">
        <f>BP30</f>
        <v>1.8290914425086318</v>
      </c>
      <c r="BQ25" s="103">
        <v>1.02677448E-6</v>
      </c>
      <c r="BR25" s="97">
        <f>BO25</f>
        <v>0</v>
      </c>
      <c r="BS25" s="106">
        <v>1.8035869761243581</v>
      </c>
      <c r="BT25" s="97">
        <v>0</v>
      </c>
      <c r="BU25" s="97">
        <v>0</v>
      </c>
      <c r="BV25" s="97">
        <v>0</v>
      </c>
      <c r="BW25" s="97">
        <v>0</v>
      </c>
      <c r="BX25" s="97">
        <v>0</v>
      </c>
      <c r="BY25" s="97">
        <v>0</v>
      </c>
      <c r="BZ25" s="131">
        <f t="shared" si="42"/>
        <v>0</v>
      </c>
      <c r="CA25" s="132">
        <f t="shared" si="42"/>
        <v>1.9322341600000001E-4</v>
      </c>
      <c r="CB25" s="132">
        <f t="shared" si="42"/>
        <v>-1.20398069E-2</v>
      </c>
      <c r="CC25" s="132">
        <f t="shared" si="42"/>
        <v>0.177873434</v>
      </c>
      <c r="CD25" s="132">
        <f t="shared" si="42"/>
        <v>-10.293938199999999</v>
      </c>
      <c r="CE25" s="133">
        <f t="shared" si="42"/>
        <v>326.678518</v>
      </c>
      <c r="CF25" s="131">
        <f t="shared" si="43"/>
        <v>0</v>
      </c>
      <c r="CG25" s="132">
        <f t="shared" si="43"/>
        <v>-8.6249698100000006E-8</v>
      </c>
      <c r="CH25" s="132">
        <f t="shared" si="43"/>
        <v>5.5378713700000002E-5</v>
      </c>
      <c r="CI25" s="132">
        <f t="shared" si="43"/>
        <v>1.51054365E-3</v>
      </c>
      <c r="CJ25" s="132">
        <f t="shared" si="44"/>
        <v>5.4230229200000002</v>
      </c>
      <c r="CK25" s="131">
        <f t="shared" si="44"/>
        <v>-2.8922756999999997E-4</v>
      </c>
      <c r="CL25" s="132">
        <f t="shared" si="44"/>
        <v>-0.28564124499999999</v>
      </c>
      <c r="CM25" s="133">
        <f t="shared" si="44"/>
        <v>776.63817300000005</v>
      </c>
      <c r="CN25" s="357"/>
      <c r="CO25" s="113">
        <v>1.5565856999999999E-3</v>
      </c>
      <c r="CP25" s="113">
        <v>-4.2192564299999999E-2</v>
      </c>
      <c r="CQ25" s="113">
        <v>0.19443796599999999</v>
      </c>
      <c r="CR25" s="113">
        <v>-9.8786068500000006</v>
      </c>
      <c r="CS25" s="114">
        <v>189.792621</v>
      </c>
      <c r="CT25" s="357"/>
      <c r="CU25" s="115">
        <v>-1.4084770500000001E-7</v>
      </c>
      <c r="CV25" s="113">
        <v>6.1237809000000003E-5</v>
      </c>
      <c r="CW25" s="113">
        <v>1.95840122E-4</v>
      </c>
      <c r="CX25" s="116">
        <v>3.84572366</v>
      </c>
      <c r="CY25" s="113">
        <v>-3.4490450499999998E-4</v>
      </c>
      <c r="CZ25" s="113">
        <v>-9.6093517399999995E-2</v>
      </c>
      <c r="DA25" s="423">
        <v>586.30835100000002</v>
      </c>
      <c r="DB25" s="357"/>
      <c r="DC25" s="113">
        <v>3.6052107500000001E-4</v>
      </c>
      <c r="DD25" s="113">
        <v>-1.7777144599999999E-2</v>
      </c>
      <c r="DE25" s="113">
        <v>0.13361282199999999</v>
      </c>
      <c r="DF25" s="113">
        <v>-9.1742737400000003</v>
      </c>
      <c r="DG25" s="114">
        <v>319.12385</v>
      </c>
      <c r="DH25" s="357"/>
      <c r="DI25" s="115">
        <v>-1.2943323800000001E-7</v>
      </c>
      <c r="DJ25" s="113">
        <v>7.3072340300000006E-5</v>
      </c>
      <c r="DK25" s="113">
        <v>1.25314831E-3</v>
      </c>
      <c r="DL25" s="116">
        <v>5.4361041099999996</v>
      </c>
      <c r="DM25" s="113">
        <v>-1.52038885E-4</v>
      </c>
      <c r="DN25" s="113">
        <v>-0.15229047200000001</v>
      </c>
      <c r="DO25" s="423">
        <v>731.26750900000002</v>
      </c>
      <c r="DP25" s="422"/>
      <c r="DQ25" s="113">
        <v>1.9322341600000001E-4</v>
      </c>
      <c r="DR25" s="113">
        <v>-1.20398069E-2</v>
      </c>
      <c r="DS25" s="113">
        <v>0.177873434</v>
      </c>
      <c r="DT25" s="113">
        <v>-10.293938199999999</v>
      </c>
      <c r="DU25" s="114">
        <v>326.678518</v>
      </c>
      <c r="DV25" s="378"/>
      <c r="DW25" s="126">
        <v>-8.6249698100000006E-8</v>
      </c>
      <c r="DX25" s="120">
        <v>5.5378713700000002E-5</v>
      </c>
      <c r="DY25" s="120">
        <v>1.51054365E-3</v>
      </c>
      <c r="DZ25" s="114">
        <v>5.4230229200000002</v>
      </c>
      <c r="EA25" s="113">
        <v>-2.8922756999999997E-4</v>
      </c>
      <c r="EB25" s="113">
        <v>-0.28564124499999999</v>
      </c>
      <c r="EC25" s="423">
        <v>776.63817300000005</v>
      </c>
      <c r="ED25" s="422"/>
      <c r="EE25" s="113">
        <v>2.1826242199999999E-5</v>
      </c>
      <c r="EF25" s="113">
        <v>-2.8060143E-3</v>
      </c>
      <c r="EG25" s="113">
        <v>6.1711260800000001E-2</v>
      </c>
      <c r="EH25" s="113">
        <v>-6.6883589800000003</v>
      </c>
      <c r="EI25" s="116">
        <v>645.46573999999998</v>
      </c>
      <c r="EJ25" s="378"/>
      <c r="EK25" s="115">
        <v>-5.5106773400000002E-8</v>
      </c>
      <c r="EL25" s="113">
        <v>7.1399850899999995E-5</v>
      </c>
      <c r="EM25" s="113">
        <v>7.2599635000000001E-3</v>
      </c>
      <c r="EN25" s="116">
        <v>18.885171700000001</v>
      </c>
      <c r="EO25" s="395">
        <v>-6.5127197300000002E-5</v>
      </c>
      <c r="EP25" s="395">
        <v>-6.6086140200000004E-2</v>
      </c>
      <c r="EQ25" s="433">
        <v>1162.6810700000001</v>
      </c>
      <c r="ER25" s="137">
        <v>37.5</v>
      </c>
      <c r="ES25" s="365"/>
      <c r="ET25" s="137">
        <v>37.5</v>
      </c>
      <c r="EU25" s="365"/>
      <c r="EV25" s="137">
        <f>ER25-5</f>
        <v>32.5</v>
      </c>
      <c r="EW25" s="365"/>
      <c r="EX25" s="366"/>
      <c r="EY25" s="367"/>
      <c r="EZ25" s="137">
        <f>IF($BK$17="11",FA25,IF($BK$17="21",FA25,IF($BK$17="12",FC25,IF($BK$17="22",FC25,IF($BK$17="13",FD25,IF($BK$17="23",FD25,IF($BK$17="14",FB25,IF($BK$17="24",FB25,IF($BK$17="31",FE25,IF($BK$17="41",FE25,IF($BK$17="32",FG25,IF($BK$17="42",FG25,IF($BK$17="33",FH25,IF($BK$17="43",FH25,IF($BK$17="34",FF25,IF($BK$17="44",FF25,))))))))))))))))</f>
        <v>17.5</v>
      </c>
      <c r="FA25" s="143">
        <f>Tavg_cold</f>
        <v>17</v>
      </c>
      <c r="FB25" s="143">
        <f t="shared" si="46"/>
        <v>17.5</v>
      </c>
      <c r="FC25" s="143">
        <f t="shared" si="47"/>
        <v>17.5</v>
      </c>
      <c r="FD25" s="143">
        <f t="shared" si="46"/>
        <v>17.5</v>
      </c>
      <c r="FE25" s="350"/>
      <c r="FF25" s="351"/>
      <c r="FG25" s="351"/>
      <c r="FH25" s="352"/>
      <c r="FJ25" s="344">
        <f t="shared" si="48"/>
        <v>0.5</v>
      </c>
      <c r="FK25" s="241">
        <f t="shared" si="49"/>
        <v>1.175</v>
      </c>
      <c r="FL25" s="372"/>
      <c r="FM25" s="230">
        <f t="shared" ref="FM25:FM30" si="87">FQ25/FO25</f>
        <v>0.50611286975510117</v>
      </c>
      <c r="FN25" s="226">
        <f>DU25</f>
        <v>326.678518</v>
      </c>
      <c r="FO25" s="226">
        <f>EI25</f>
        <v>645.46573999999998</v>
      </c>
      <c r="FP25" s="222">
        <f>FN25/FO25</f>
        <v>0.50611286975510117</v>
      </c>
      <c r="FQ25" s="238">
        <f t="shared" si="50"/>
        <v>326.678518</v>
      </c>
      <c r="FR25" s="241">
        <f t="shared" si="51"/>
        <v>0</v>
      </c>
      <c r="FS25" s="242">
        <f t="shared" ref="FS25:FS30" si="88">FO25*(1-FP25)</f>
        <v>318.78722199999999</v>
      </c>
      <c r="FT25" s="248">
        <f t="shared" ref="FT25:FT30" si="89">IF((FR25/FS25)&gt;1,1,FR25/FS25)</f>
        <v>0</v>
      </c>
      <c r="FU25" s="224">
        <f>FC25</f>
        <v>17.5</v>
      </c>
      <c r="FV25" s="219">
        <f t="shared" si="52"/>
        <v>21.150000000000002</v>
      </c>
      <c r="FW25" s="224">
        <f>ABS(FV25-FU25)</f>
        <v>3.6500000000000021</v>
      </c>
      <c r="FX25" s="373"/>
      <c r="FY25" s="373"/>
      <c r="FZ25" s="224">
        <f>IF(FM25&lt;=FP25,FU25,FU25+(FT25*FW25))</f>
        <v>17.5</v>
      </c>
      <c r="GA25" s="373"/>
      <c r="GC25" s="161">
        <f t="shared" si="53"/>
        <v>15.69066559142683</v>
      </c>
      <c r="GE25" s="259">
        <f t="shared" si="54"/>
        <v>0</v>
      </c>
      <c r="GG25" s="305">
        <f t="shared" si="55"/>
        <v>2334.1781978570243</v>
      </c>
      <c r="GH25" s="305">
        <f t="shared" si="56"/>
        <v>18287.224403278535</v>
      </c>
      <c r="GI25" s="305">
        <f t="shared" si="57"/>
        <v>1167.0890989285122</v>
      </c>
      <c r="GJ25" s="305">
        <f t="shared" si="58"/>
        <v>1167.0890989285119</v>
      </c>
      <c r="GK25" s="305">
        <f t="shared" si="59"/>
        <v>7.2478490515896785E-3</v>
      </c>
      <c r="GL25" s="305">
        <f t="shared" si="15"/>
        <v>7.2478490515896785E-3</v>
      </c>
      <c r="GM25" s="305">
        <f t="shared" si="60"/>
        <v>38.490692183503647</v>
      </c>
      <c r="GN25" s="305">
        <f t="shared" si="61"/>
        <v>77.444151849200296</v>
      </c>
      <c r="GO25" s="306">
        <f t="shared" si="16"/>
        <v>6.3819914558454052E-2</v>
      </c>
      <c r="GQ25" s="305">
        <f t="shared" si="62"/>
        <v>3557.0118570174286</v>
      </c>
      <c r="GR25" s="305">
        <f t="shared" si="63"/>
        <v>2204.801442767297</v>
      </c>
      <c r="GS25" s="305">
        <f t="shared" si="64"/>
        <v>1778.5059285087143</v>
      </c>
      <c r="GT25" s="305">
        <f t="shared" si="65"/>
        <v>1778.5059285087143</v>
      </c>
      <c r="GU25" s="305">
        <f t="shared" si="66"/>
        <v>1778.5059285087143</v>
      </c>
      <c r="GV25" s="307">
        <f t="shared" si="67"/>
        <v>1.1112703645172665E-2</v>
      </c>
      <c r="GW25" s="307">
        <f t="shared" si="68"/>
        <v>1.1112703645172665E-2</v>
      </c>
      <c r="GX25" s="305">
        <f t="shared" si="69"/>
        <v>1.1112703645172665E-2</v>
      </c>
      <c r="GY25" s="305">
        <f t="shared" si="70"/>
        <v>55.477839519976428</v>
      </c>
      <c r="GZ25" s="305">
        <f t="shared" si="71"/>
        <v>55.477839519976428</v>
      </c>
      <c r="HA25" s="305">
        <f t="shared" si="72"/>
        <v>47.354495808145963</v>
      </c>
      <c r="HB25" s="305">
        <f t="shared" si="17"/>
        <v>19.415087041495514</v>
      </c>
      <c r="HC25" s="305">
        <f t="shared" si="18"/>
        <v>19.415087041495514</v>
      </c>
      <c r="HD25" s="529">
        <f t="shared" si="73"/>
        <v>870.4079031708319</v>
      </c>
      <c r="HE25" s="57">
        <f t="shared" si="7"/>
        <v>326.678518</v>
      </c>
      <c r="HF25" s="57">
        <f t="shared" si="74"/>
        <v>870.4079031708319</v>
      </c>
      <c r="HG25" s="525">
        <f t="shared" si="9"/>
        <v>17.5</v>
      </c>
      <c r="HH25" s="57">
        <f t="shared" si="10"/>
        <v>17.5</v>
      </c>
      <c r="HI25" s="503">
        <f t="shared" si="75"/>
        <v>870.4079031708319</v>
      </c>
      <c r="HJ25" s="2">
        <f t="shared" ref="HJ25:HJ62" si="90">HI25/HF25</f>
        <v>1</v>
      </c>
      <c r="HK25" s="503">
        <f t="shared" si="76"/>
        <v>870.4079031708319</v>
      </c>
      <c r="HL25" s="344">
        <f t="shared" si="77"/>
        <v>0.5</v>
      </c>
      <c r="HM25" s="241">
        <f t="shared" si="78"/>
        <v>1.175</v>
      </c>
      <c r="HN25" s="372"/>
      <c r="HO25" s="230">
        <f t="shared" ref="HO25:HO30" si="91">HS25/HQ25</f>
        <v>0.50611286975510117</v>
      </c>
      <c r="HP25" s="226">
        <f t="shared" si="79"/>
        <v>326.678518</v>
      </c>
      <c r="HQ25" s="226">
        <f t="shared" si="80"/>
        <v>645.46573999999998</v>
      </c>
      <c r="HR25" s="222">
        <f>HP25/HQ25</f>
        <v>0.50611286975510117</v>
      </c>
      <c r="HS25" s="251">
        <f t="shared" si="11"/>
        <v>326.678518</v>
      </c>
      <c r="HT25" s="241">
        <f t="shared" si="81"/>
        <v>0</v>
      </c>
      <c r="HU25" s="242">
        <f t="shared" ref="HU25:HU30" si="92">HQ25*(1-HR25)</f>
        <v>318.78722199999999</v>
      </c>
      <c r="HV25" s="248">
        <f t="shared" ref="HV25:HV30" si="93">IF((HT25/HU25)&gt;1,1,HT25/HU25)</f>
        <v>0</v>
      </c>
      <c r="HW25" s="224">
        <f t="shared" si="12"/>
        <v>17.5</v>
      </c>
      <c r="HX25" s="219">
        <f t="shared" si="82"/>
        <v>21.150000000000002</v>
      </c>
      <c r="HY25" s="224">
        <f>ABS(HX25-HW25)</f>
        <v>3.6500000000000021</v>
      </c>
      <c r="HZ25" s="373"/>
      <c r="IA25" s="373"/>
      <c r="IB25" s="224">
        <f>IF(HO25&lt;=HR25,HW25,HW25+(HV25*HY25))</f>
        <v>17.5</v>
      </c>
      <c r="IC25" s="373"/>
      <c r="IE25" s="161">
        <f t="shared" si="83"/>
        <v>15.69066559142683</v>
      </c>
      <c r="IG25" s="259" t="e">
        <f t="shared" si="84"/>
        <v>#DIV/0!</v>
      </c>
      <c r="II25" s="305">
        <f t="shared" si="85"/>
        <v>2334.1781978570243</v>
      </c>
      <c r="IJ25" s="305">
        <f t="shared" si="86"/>
        <v>18287.224403278535</v>
      </c>
    </row>
    <row r="26" spans="2:244" ht="15" customHeight="1" x14ac:dyDescent="0.25">
      <c r="B26" s="195">
        <f>IF($AL$5=1,$C26/10,IF($AL$5=2,$C26/10,IF($AL$5=3,0.25,IF($AL$5=4,$C26/10,))))</f>
        <v>0.5</v>
      </c>
      <c r="C26" s="336">
        <v>5</v>
      </c>
      <c r="D26" s="329">
        <f t="shared" si="23"/>
        <v>-176.58230878697927</v>
      </c>
      <c r="E26" s="172">
        <f t="shared" si="24"/>
        <v>-15</v>
      </c>
      <c r="F26" s="330" t="e">
        <f t="shared" si="25"/>
        <v>#NUM!</v>
      </c>
      <c r="G26" s="329">
        <f t="shared" si="26"/>
        <v>5.8527436755953275</v>
      </c>
      <c r="H26" s="32">
        <f t="shared" si="27"/>
        <v>5.8527436755953275</v>
      </c>
      <c r="I26" s="30">
        <f>IF(Geg_dP&lt;AB26,ROUND(((IF('Briza 22 &amp; 26'!$M$4="High Perform. 208/230V (US/EU)",cal!HK26,H26)/Watts)/((Tr_cool-Tv_cool)*1.163))*FlowH2O,IF(UnitsNo=1,0,IF(UnitsNo=2,2))),"")</f>
        <v>3</v>
      </c>
      <c r="J26" s="330">
        <f t="shared" si="28"/>
        <v>5.579193318791106E-4</v>
      </c>
      <c r="K26" s="333">
        <f t="shared" si="29"/>
        <v>0</v>
      </c>
      <c r="L26" s="297">
        <f>IF(Geg_dP&lt;$AB26,0,"")</f>
        <v>0</v>
      </c>
      <c r="M26" s="198">
        <f t="shared" si="30"/>
        <v>0</v>
      </c>
      <c r="N26" s="197">
        <f t="shared" si="31"/>
        <v>0</v>
      </c>
      <c r="O26" s="480">
        <f t="shared" si="32"/>
        <v>0</v>
      </c>
      <c r="P26" s="198" t="e">
        <f t="shared" si="33"/>
        <v>#DIV/0!</v>
      </c>
      <c r="Q26" s="297" t="e">
        <f t="shared" si="34"/>
        <v>#DIV/0!</v>
      </c>
      <c r="R26" s="509" t="e">
        <f t="shared" si="35"/>
        <v>#DIV/0!</v>
      </c>
      <c r="S26" s="36" t="e">
        <f t="shared" si="36"/>
        <v>#DIV/0!</v>
      </c>
      <c r="T26" s="300" t="e">
        <f t="shared" si="37"/>
        <v>#DIV/0!</v>
      </c>
      <c r="U26" s="416">
        <f t="shared" si="38"/>
        <v>0</v>
      </c>
      <c r="V26" s="483" t="e">
        <f t="shared" si="39"/>
        <v>#DIV/0!</v>
      </c>
      <c r="W26" s="513" t="e">
        <f t="shared" si="40"/>
        <v>#DIV/0!</v>
      </c>
      <c r="X26" s="56">
        <f t="shared" si="1"/>
        <v>0.98022799999999999</v>
      </c>
      <c r="Y26" s="56">
        <f t="shared" si="2"/>
        <v>1.2901100000000001</v>
      </c>
      <c r="Z26" s="56">
        <f t="shared" si="2"/>
        <v>1.13171</v>
      </c>
      <c r="AA26" s="56">
        <f t="shared" si="13"/>
        <v>0.98022799999999999</v>
      </c>
      <c r="AB26" s="56">
        <f t="shared" si="14"/>
        <v>40.049999999999997</v>
      </c>
      <c r="AC26" s="95">
        <v>0.98022799999999999</v>
      </c>
      <c r="AD26" s="95">
        <v>1.2901100000000001</v>
      </c>
      <c r="AE26" s="95">
        <v>1.13171</v>
      </c>
      <c r="AF26" s="96">
        <f>AF25+((AF27-AF25)/2)</f>
        <v>26</v>
      </c>
      <c r="AG26" s="95">
        <v>0.98022799999999999</v>
      </c>
      <c r="AH26" s="95">
        <v>1.2901100000000001</v>
      </c>
      <c r="AI26" s="95">
        <v>1.13171</v>
      </c>
      <c r="AJ26" s="486">
        <f>AJ25+((AJ27-AJ25)/2)</f>
        <v>43.5</v>
      </c>
      <c r="AK26" s="487">
        <v>0.98022799999999999</v>
      </c>
      <c r="AL26" s="487">
        <v>1.2901100000000001</v>
      </c>
      <c r="AM26" s="487">
        <v>1.13171</v>
      </c>
      <c r="AN26" s="486">
        <f>AN25+((AN27-AN25)/2)</f>
        <v>40.049999999999997</v>
      </c>
      <c r="AO26" s="487">
        <v>1.0471988669409447</v>
      </c>
      <c r="AP26" s="487">
        <v>1.2021874904764758</v>
      </c>
      <c r="AQ26" s="487">
        <v>1.1584541354089894</v>
      </c>
      <c r="AR26" s="486">
        <v>104</v>
      </c>
      <c r="AS26" s="488"/>
      <c r="AT26" s="488"/>
      <c r="AU26" s="488"/>
      <c r="AV26" s="488">
        <v>1000</v>
      </c>
      <c r="AW26" s="488"/>
      <c r="AX26" s="488"/>
      <c r="AY26" s="488"/>
      <c r="AZ26" s="488">
        <v>1000</v>
      </c>
      <c r="BA26" s="97"/>
      <c r="BB26" s="97"/>
      <c r="BC26" s="97"/>
      <c r="BD26" s="97">
        <v>1000</v>
      </c>
      <c r="BE26" s="97"/>
      <c r="BF26" s="97"/>
      <c r="BG26" s="97"/>
      <c r="BH26" s="97">
        <v>1000</v>
      </c>
      <c r="BJ26" s="182"/>
      <c r="BK26" s="252"/>
      <c r="BL26" s="253"/>
      <c r="BM26" s="253"/>
      <c r="BN26" s="252"/>
      <c r="BO26" s="253"/>
      <c r="BP26" s="254"/>
      <c r="BQ26" s="252"/>
      <c r="BR26" s="253"/>
      <c r="BS26" s="254"/>
      <c r="BT26" s="252"/>
      <c r="BU26" s="253"/>
      <c r="BV26" s="254"/>
      <c r="BW26" s="252"/>
      <c r="BX26" s="253"/>
      <c r="BY26" s="254"/>
      <c r="BZ26" s="131">
        <f t="shared" si="42"/>
        <v>0</v>
      </c>
      <c r="CA26" s="132">
        <f t="shared" si="42"/>
        <v>0</v>
      </c>
      <c r="CB26" s="132">
        <f t="shared" si="42"/>
        <v>0</v>
      </c>
      <c r="CC26" s="132">
        <f t="shared" si="42"/>
        <v>0</v>
      </c>
      <c r="CD26" s="132">
        <f t="shared" si="42"/>
        <v>0</v>
      </c>
      <c r="CE26" s="133">
        <f t="shared" si="42"/>
        <v>0</v>
      </c>
      <c r="CF26" s="131">
        <f t="shared" ref="CF26:CI30" si="94">IF($BK$17="11",CT26,IF($BK$17="21",CT26,IF($BK$17="12",DV26,IF($BK$17="22",DV26,IF($BK$17="13",EJ26,IF($BK$17="23",EJ26,IF($BK$17="14",DH26,IF($BK$17="24",DH26,IF($BK$17="31",0,IF($BK$17="41",0,IF($BK$17="32",0,IF($BK$17="42",0,IF($BK$17="33",0,IF($BK$17="43",0,IF($BK$17="34",DH26,IF($BK$17="44",DH26,))))))))))))))))</f>
        <v>0</v>
      </c>
      <c r="CG26" s="132">
        <f t="shared" si="94"/>
        <v>0</v>
      </c>
      <c r="CH26" s="132">
        <f t="shared" si="94"/>
        <v>0</v>
      </c>
      <c r="CI26" s="132">
        <f t="shared" si="94"/>
        <v>0</v>
      </c>
      <c r="CJ26" s="132">
        <f t="shared" si="44"/>
        <v>0</v>
      </c>
      <c r="CK26" s="131">
        <f t="shared" si="44"/>
        <v>0</v>
      </c>
      <c r="CL26" s="132">
        <f t="shared" si="44"/>
        <v>0</v>
      </c>
      <c r="CM26" s="133">
        <f t="shared" si="44"/>
        <v>0</v>
      </c>
      <c r="CN26" s="384"/>
      <c r="CO26" s="380"/>
      <c r="CP26" s="380"/>
      <c r="CQ26" s="380"/>
      <c r="CR26" s="380"/>
      <c r="CS26" s="381"/>
      <c r="CT26" s="384"/>
      <c r="CU26" s="380"/>
      <c r="CV26" s="380"/>
      <c r="CW26" s="380"/>
      <c r="CX26" s="381"/>
      <c r="CY26" s="380"/>
      <c r="CZ26" s="380"/>
      <c r="DA26" s="427"/>
      <c r="DB26" s="384"/>
      <c r="DC26" s="380"/>
      <c r="DD26" s="380"/>
      <c r="DE26" s="380"/>
      <c r="DF26" s="380"/>
      <c r="DG26" s="381"/>
      <c r="DH26" s="384"/>
      <c r="DI26" s="380"/>
      <c r="DJ26" s="380"/>
      <c r="DK26" s="380"/>
      <c r="DL26" s="381"/>
      <c r="DM26" s="380"/>
      <c r="DN26" s="380"/>
      <c r="DO26" s="427"/>
      <c r="DP26" s="426"/>
      <c r="DQ26" s="380"/>
      <c r="DR26" s="380"/>
      <c r="DS26" s="380"/>
      <c r="DT26" s="380"/>
      <c r="DU26" s="381"/>
      <c r="DV26" s="375"/>
      <c r="DW26" s="382"/>
      <c r="DX26" s="382"/>
      <c r="DY26" s="382"/>
      <c r="DZ26" s="383"/>
      <c r="EA26" s="380"/>
      <c r="EB26" s="380"/>
      <c r="EC26" s="427"/>
      <c r="ED26" s="429"/>
      <c r="EE26" s="393"/>
      <c r="EF26" s="113">
        <v>3.37349719E-5</v>
      </c>
      <c r="EG26" s="113">
        <v>-3.3324398999999998E-2</v>
      </c>
      <c r="EH26" s="113">
        <v>-4.4930231899999997</v>
      </c>
      <c r="EI26" s="116">
        <v>794.40322600000002</v>
      </c>
      <c r="EJ26" s="378"/>
      <c r="EK26" s="115">
        <v>-4.8798260100000003E-8</v>
      </c>
      <c r="EL26" s="113">
        <v>7.7754293900000001E-5</v>
      </c>
      <c r="EM26" s="113">
        <v>1.24869009E-2</v>
      </c>
      <c r="EN26" s="116">
        <v>28.956888299999999</v>
      </c>
      <c r="EO26" s="395">
        <v>-6.3500725600000005E-5</v>
      </c>
      <c r="EP26" s="395">
        <v>-9.3373323600000002E-2</v>
      </c>
      <c r="EQ26" s="433">
        <v>1418.0618400000001</v>
      </c>
      <c r="ER26" s="444"/>
      <c r="ES26" s="441"/>
      <c r="ET26" s="443"/>
      <c r="EU26" s="441"/>
      <c r="EV26" s="443"/>
      <c r="EW26" s="441"/>
      <c r="EX26" s="441"/>
      <c r="EY26" s="442"/>
      <c r="EZ26" s="530">
        <f>IF($BK$17="11",FA26,IF($BK$17="21",FA26,IF($BK$17="12",FC26,IF($BK$17="22",FC26,IF($BK$17="13",FD26,IF($BK$17="23",FD26,IF($BK$17="14",FB26,IF($BK$17="24",FB26,IF($BK$17="31",FE26,IF($BK$17="41",FE26,IF($BK$17="32",FG26,IF($BK$17="42",FG26,IF($BK$17="33",FH26,IF($BK$17="43",FH26,IF($BK$17="34",FF26,IF($BK$17="44",FF26,))))))))))))))))</f>
        <v>17</v>
      </c>
      <c r="FA26" s="143">
        <f>((FA27-FA25)/2)+FA25</f>
        <v>17</v>
      </c>
      <c r="FB26" s="143">
        <f t="shared" si="46"/>
        <v>17</v>
      </c>
      <c r="FC26" s="143">
        <f t="shared" si="47"/>
        <v>17</v>
      </c>
      <c r="FD26" s="143">
        <f>IF($GC26&lt;=$FC26,$FC26,IF($FM26&lt;=$FP26,$FC26,$FZ26))</f>
        <v>17</v>
      </c>
      <c r="FE26" s="350"/>
      <c r="FF26" s="351"/>
      <c r="FG26" s="351"/>
      <c r="FH26" s="352"/>
      <c r="FJ26" s="344">
        <f t="shared" si="48"/>
        <v>0</v>
      </c>
      <c r="FK26" s="241">
        <f t="shared" si="49"/>
        <v>1.175</v>
      </c>
      <c r="FL26" s="372"/>
      <c r="FM26" s="230">
        <f>FQ26/FO26</f>
        <v>0</v>
      </c>
      <c r="FN26" s="226">
        <f>((FN27-FN25)/2)+FN25</f>
        <v>391.45486549999998</v>
      </c>
      <c r="FO26" s="226">
        <f>((FO27-FO25)/2)+FO25</f>
        <v>796.88617750000003</v>
      </c>
      <c r="FP26" s="222">
        <f>FN26/FO26</f>
        <v>0.49123058794679614</v>
      </c>
      <c r="FQ26" s="238">
        <f t="shared" si="50"/>
        <v>0</v>
      </c>
      <c r="FR26" s="241">
        <f t="shared" si="51"/>
        <v>0</v>
      </c>
      <c r="FS26" s="242">
        <f t="shared" si="88"/>
        <v>405.43131200000005</v>
      </c>
      <c r="FT26" s="248">
        <f t="shared" si="89"/>
        <v>0</v>
      </c>
      <c r="FU26" s="224">
        <f t="shared" ref="FU26:FU37" si="95">FC26</f>
        <v>17</v>
      </c>
      <c r="FV26" s="219">
        <f t="shared" si="52"/>
        <v>21.150000000000002</v>
      </c>
      <c r="FW26" s="224">
        <f t="shared" ref="FW26:FW37" si="96">ABS(FV26-FU26)</f>
        <v>4.1500000000000021</v>
      </c>
      <c r="FX26" s="373"/>
      <c r="FY26" s="373"/>
      <c r="FZ26" s="224">
        <f>IF(FM26&lt;=FP26,FU26,FU26+(FT26*FW26))</f>
        <v>17</v>
      </c>
      <c r="GA26" s="373"/>
      <c r="GC26" s="161">
        <f t="shared" si="53"/>
        <v>15.69066559142683</v>
      </c>
      <c r="GE26" s="259">
        <f t="shared" si="54"/>
        <v>0</v>
      </c>
      <c r="GG26" s="305">
        <f t="shared" si="55"/>
        <v>2334.1781978570243</v>
      </c>
      <c r="GH26" s="305" t="e">
        <f t="shared" si="56"/>
        <v>#DIV/0!</v>
      </c>
      <c r="GI26" s="305">
        <f t="shared" si="57"/>
        <v>1167.0890989285122</v>
      </c>
      <c r="GJ26" s="305">
        <f t="shared" si="58"/>
        <v>1167.0890989285119</v>
      </c>
      <c r="GK26" s="305">
        <f t="shared" si="59"/>
        <v>7.2478490515896785E-3</v>
      </c>
      <c r="GL26" s="305">
        <f t="shared" si="15"/>
        <v>7.2478490515896785E-3</v>
      </c>
      <c r="GM26" s="305">
        <f t="shared" si="60"/>
        <v>38.490692183503647</v>
      </c>
      <c r="GN26" s="305" t="e">
        <f t="shared" si="61"/>
        <v>#DIV/0!</v>
      </c>
      <c r="GO26" s="306" t="e">
        <f t="shared" si="16"/>
        <v>#DIV/0!</v>
      </c>
      <c r="GQ26" s="305">
        <f t="shared" si="62"/>
        <v>3557.0118570174286</v>
      </c>
      <c r="GR26" s="305" t="e">
        <f t="shared" si="63"/>
        <v>#DIV/0!</v>
      </c>
      <c r="GS26" s="305">
        <f t="shared" si="64"/>
        <v>1778.5059285087143</v>
      </c>
      <c r="GT26" s="305">
        <f t="shared" si="65"/>
        <v>1778.5059285087143</v>
      </c>
      <c r="GU26" s="305" t="e">
        <f t="shared" si="66"/>
        <v>#DIV/0!</v>
      </c>
      <c r="GV26" s="307">
        <f t="shared" si="67"/>
        <v>1.1112703645172665E-2</v>
      </c>
      <c r="GW26" s="307">
        <f t="shared" si="68"/>
        <v>1.1112703645172665E-2</v>
      </c>
      <c r="GX26" s="305" t="e">
        <f t="shared" si="69"/>
        <v>#DIV/0!</v>
      </c>
      <c r="GY26" s="305">
        <f t="shared" si="70"/>
        <v>55.477839519976428</v>
      </c>
      <c r="GZ26" s="305" t="e">
        <f t="shared" si="71"/>
        <v>#DIV/0!</v>
      </c>
      <c r="HA26" s="305" t="e">
        <f t="shared" si="72"/>
        <v>#DIV/0!</v>
      </c>
      <c r="HB26" s="305">
        <f t="shared" si="17"/>
        <v>19.415087041495514</v>
      </c>
      <c r="HC26" s="305" t="e">
        <f t="shared" si="18"/>
        <v>#DIV/0!</v>
      </c>
      <c r="HD26" s="529">
        <f t="shared" si="73"/>
        <v>5.8527436755953275</v>
      </c>
      <c r="HE26" s="57">
        <f t="shared" si="7"/>
        <v>0</v>
      </c>
      <c r="HF26" s="57">
        <f t="shared" si="74"/>
        <v>5.8527436755953275</v>
      </c>
      <c r="HG26" s="525">
        <f t="shared" si="9"/>
        <v>17</v>
      </c>
      <c r="HH26" s="57">
        <f t="shared" si="10"/>
        <v>17</v>
      </c>
      <c r="HI26" s="503">
        <f>IF(Geg_dP&lt;$AB26,((HF26/Watts)/(IF((237.3*LN((RH*EXP(17.27*(Tl_cool/(Tl_cool+237.3))))))/(17.27-LN((RH*EXP(17.27*(Tl_cool/(Tl_cool+237.3))))))&lt;HH26,1,IF(1/(1+((2258*((0.622/((101325/(1*611*EXP(17.27*(HH26/(HH26+237.3))))))-1)*1000-(0.622/((101325/(RH*611*EXP(17.27*(Tl_cool/(Tl_cool+237.3))))))-1)*1000))/(1005*(Tavg_cold-Tl_cool))))&gt;1,1,1/(1+((2258*((0.622/((101325/(1*611*EXP(17.27*(HH26/(HH26+237.3))))))-1)*1000-(0.622/((101325/(RH*611*EXP(17.27*(Tl_cool/(Tl_cool+237.3))))))-1)*1000))/(1005*(Tavg_cold-Tl_cool))))))))*Watts,"")</f>
        <v>5.8527436755953275</v>
      </c>
      <c r="HJ26" s="2">
        <f t="shared" si="90"/>
        <v>1</v>
      </c>
      <c r="HK26" s="503">
        <f t="shared" si="76"/>
        <v>5.8527436755953275</v>
      </c>
      <c r="HL26" s="344">
        <f t="shared" si="77"/>
        <v>0</v>
      </c>
      <c r="HM26" s="241">
        <f t="shared" si="78"/>
        <v>1.175</v>
      </c>
      <c r="HN26" s="372"/>
      <c r="HO26" s="230">
        <f t="shared" si="91"/>
        <v>0</v>
      </c>
      <c r="HP26" s="226">
        <f>((HP27-HP25)/2)+HP25</f>
        <v>391.45486549999998</v>
      </c>
      <c r="HQ26" s="226">
        <f>((HQ27-HQ25)/2)+HQ25</f>
        <v>796.88617750000003</v>
      </c>
      <c r="HR26" s="222">
        <f>HP26/HQ26</f>
        <v>0.49123058794679614</v>
      </c>
      <c r="HS26" s="251">
        <f t="shared" si="11"/>
        <v>0</v>
      </c>
      <c r="HT26" s="241">
        <f t="shared" si="81"/>
        <v>0</v>
      </c>
      <c r="HU26" s="242">
        <f t="shared" si="92"/>
        <v>405.43131200000005</v>
      </c>
      <c r="HV26" s="248">
        <f t="shared" si="93"/>
        <v>0</v>
      </c>
      <c r="HW26" s="224">
        <f t="shared" si="12"/>
        <v>17</v>
      </c>
      <c r="HX26" s="219">
        <f t="shared" si="82"/>
        <v>21.150000000000002</v>
      </c>
      <c r="HY26" s="224">
        <f t="shared" ref="HY26:HY30" si="97">ABS(HX26-HW26)</f>
        <v>4.1500000000000021</v>
      </c>
      <c r="HZ26" s="373"/>
      <c r="IA26" s="373"/>
      <c r="IB26" s="224">
        <f t="shared" ref="IB26:IB30" si="98">IF(HO26&lt;=HR26,HW26,HW26+(HV26*HY26))</f>
        <v>17</v>
      </c>
      <c r="IC26" s="373"/>
      <c r="IE26" s="161">
        <f t="shared" si="83"/>
        <v>15.69066559142683</v>
      </c>
      <c r="IG26" s="259" t="e">
        <f t="shared" si="84"/>
        <v>#DIV/0!</v>
      </c>
      <c r="II26" s="305">
        <f t="shared" si="85"/>
        <v>2334.1781978570243</v>
      </c>
      <c r="IJ26" s="305" t="e">
        <f t="shared" si="86"/>
        <v>#DIV/0!</v>
      </c>
    </row>
    <row r="27" spans="2:244" ht="15" customHeight="1" x14ac:dyDescent="0.25">
      <c r="B27" s="195">
        <f>IF($AL$5=1,$C27/10,IF($AL$5=2,$C27/10,IF($AL$5=3,0.5,IF($AL$5=4,$C27/10,))))</f>
        <v>0.6</v>
      </c>
      <c r="C27" s="336">
        <v>6</v>
      </c>
      <c r="D27" s="329">
        <f t="shared" si="23"/>
        <v>5635.1006088385057</v>
      </c>
      <c r="E27" s="30">
        <f t="shared" si="24"/>
        <v>485</v>
      </c>
      <c r="F27" s="330">
        <f t="shared" si="25"/>
        <v>6.1142083915871881</v>
      </c>
      <c r="G27" s="329">
        <f t="shared" si="26"/>
        <v>1145.8866223600021</v>
      </c>
      <c r="H27" s="32">
        <f t="shared" si="27"/>
        <v>1145.8866223600021</v>
      </c>
      <c r="I27" s="30">
        <f>IF(Geg_dP&lt;AB27,ROUND(((IF('Briza 22 &amp; 26'!$M$4="High Perform. 208/230V (US/EU)",cal!HK27,H27)/Watts)/((Tr_cool-Tv_cool)*1.163))*FlowH2O,IF(UnitsNo=1,0,IF(UnitsNo=2,2))),"")</f>
        <v>493</v>
      </c>
      <c r="J27" s="330">
        <f t="shared" si="28"/>
        <v>6.2999378044641938</v>
      </c>
      <c r="K27" s="333">
        <f t="shared" si="29"/>
        <v>39</v>
      </c>
      <c r="L27" s="297">
        <f>IF(Geg_dP&lt;$AB27,IF(CalcNo="12",$ET27,IF(CalcNo="22",$ET27,IF(CalcNo="13",$EU27,IF(CalcNo="23",$EU27,IF(CalcNo="11",$ER27,IF(CalcNo="21",$ER27,IF(CalcNo="14",$ES27,IF(CalcNo="24",$ES27,IF(CalcNo="32",$EX27,IF(CalcNo="42",$EX27,IF(CalcNo="33",$EY27,IF(CalcNo="43",$EY27,IF(CalcNo="31",$EV27,IF(CalcNo="41",$EV27,IF(CalcNo="34",$EW27,IF(CalcNo="44",$EW27,)))))))))))))))),"")</f>
        <v>47</v>
      </c>
      <c r="M27" s="198">
        <f t="shared" si="30"/>
        <v>17.716229239720533</v>
      </c>
      <c r="N27" s="197">
        <f t="shared" si="31"/>
        <v>456.23121300000003</v>
      </c>
      <c r="O27" s="480">
        <f t="shared" si="32"/>
        <v>0.76806601515151507</v>
      </c>
      <c r="P27" s="198">
        <f t="shared" si="33"/>
        <v>56.255380575852506</v>
      </c>
      <c r="Q27" s="297">
        <f t="shared" si="34"/>
        <v>24.897212278988306</v>
      </c>
      <c r="R27" s="509">
        <f t="shared" si="35"/>
        <v>19.534916183581799</v>
      </c>
      <c r="S27" s="36">
        <f t="shared" si="36"/>
        <v>16.984768565071484</v>
      </c>
      <c r="T27" s="300">
        <f t="shared" si="37"/>
        <v>0.78420471402276792</v>
      </c>
      <c r="U27" s="416">
        <f t="shared" si="38"/>
        <v>832.55923879997431</v>
      </c>
      <c r="V27" s="483">
        <f t="shared" si="39"/>
        <v>0.13979408564269782</v>
      </c>
      <c r="W27" s="513">
        <f t="shared" si="40"/>
        <v>2.5116357445714748</v>
      </c>
      <c r="X27" s="56">
        <f t="shared" si="1"/>
        <v>0.98022799999999999</v>
      </c>
      <c r="Y27" s="56">
        <f t="shared" si="2"/>
        <v>1.2901100000000001</v>
      </c>
      <c r="Z27" s="56">
        <f t="shared" si="2"/>
        <v>1.13171</v>
      </c>
      <c r="AA27" s="56">
        <f t="shared" si="13"/>
        <v>0.98022799999999999</v>
      </c>
      <c r="AB27" s="56">
        <f t="shared" si="14"/>
        <v>52.22</v>
      </c>
      <c r="AC27" s="95">
        <v>0.98022799999999999</v>
      </c>
      <c r="AD27" s="95">
        <v>1.2901100000000001</v>
      </c>
      <c r="AE27" s="95">
        <v>1.13171</v>
      </c>
      <c r="AF27" s="96">
        <v>35</v>
      </c>
      <c r="AG27" s="95">
        <v>0.98022799999999999</v>
      </c>
      <c r="AH27" s="95">
        <v>1.2901100000000001</v>
      </c>
      <c r="AI27" s="95">
        <v>1.13171</v>
      </c>
      <c r="AJ27" s="486">
        <v>60</v>
      </c>
      <c r="AK27" s="487">
        <v>0.98022799999999999</v>
      </c>
      <c r="AL27" s="487">
        <v>1.2901100000000001</v>
      </c>
      <c r="AM27" s="487">
        <v>1.13171</v>
      </c>
      <c r="AN27" s="486">
        <v>52.22</v>
      </c>
      <c r="AO27" s="487">
        <v>1.0471988669409447</v>
      </c>
      <c r="AP27" s="487">
        <v>1.2021874904764758</v>
      </c>
      <c r="AQ27" s="487">
        <v>1.1584541354089894</v>
      </c>
      <c r="AR27" s="486">
        <v>155</v>
      </c>
      <c r="AS27" s="488"/>
      <c r="AT27" s="488"/>
      <c r="AU27" s="488"/>
      <c r="AV27" s="488">
        <v>1000</v>
      </c>
      <c r="AW27" s="488"/>
      <c r="AX27" s="488"/>
      <c r="AY27" s="488"/>
      <c r="AZ27" s="488">
        <v>1000</v>
      </c>
      <c r="BA27" s="97"/>
      <c r="BB27" s="97"/>
      <c r="BC27" s="97"/>
      <c r="BD27" s="97">
        <v>1000</v>
      </c>
      <c r="BE27" s="97"/>
      <c r="BF27" s="97"/>
      <c r="BG27" s="97"/>
      <c r="BH27" s="97">
        <v>1000</v>
      </c>
      <c r="BJ27" s="182"/>
      <c r="BK27" s="82">
        <f>IF($BK$17="11",BN27,IF($BK$17="21",BQ27,IF($BK$17="12",BN27,IF($BK$17="22",BQ27,IF($BK$17="13",BN27,IF($BK$17="23",BQ27,IF($BK$17="14",BN27,IF($BK$17="24",BQ27,IF($BK$17="31",BT27,IF($BK$17="41",BW27,IF($BK$17="32",BT27,IF($BK$17="42",BW27,IF($BK$17="33",BT27,IF($BK$17="43",BW27,IF($BK$17="34",BT27,IF($BK$17="44",BW27,))))))))))))))))</f>
        <v>-3.6530586900000001E-3</v>
      </c>
      <c r="BL27" s="83">
        <f>IF($BK$17="11",BO27,IF($BK$17="21",BR27,IF($BK$17="12",BO27,IF($BK$17="22",BR27,IF($BK$17="13",BO27,IF($BK$17="23",BR27,IF($BK$17="14",BO27,IF($BK$17="24",BR27,IF($BK$17="31",BU27,IF($BK$17="41",BX27,IF($BK$17="32",BU27,IF($BK$17="42",BX27,IF($BK$17="33",BU27,IF($BK$17="43",BX27,IF($BK$17="34",BU27,IF($BK$17="44",BX27,))))))))))))))))</f>
        <v>-2.3361070900000001E-3</v>
      </c>
      <c r="BM27" s="97"/>
      <c r="BN27" s="103">
        <v>-3.6530586900000001E-3</v>
      </c>
      <c r="BO27" s="104">
        <v>-2.3361070900000001E-3</v>
      </c>
      <c r="BP27" s="97"/>
      <c r="BQ27" s="103">
        <v>-3.4890684400000001E-3</v>
      </c>
      <c r="BR27" s="104">
        <f>BO27</f>
        <v>-2.3361070900000001E-3</v>
      </c>
      <c r="BS27" s="97"/>
      <c r="BT27" s="97">
        <v>0</v>
      </c>
      <c r="BU27" s="97">
        <v>0</v>
      </c>
      <c r="BV27" s="97"/>
      <c r="BW27" s="97">
        <v>0</v>
      </c>
      <c r="BX27" s="97">
        <v>0</v>
      </c>
      <c r="BY27" s="97"/>
      <c r="BZ27" s="131">
        <f t="shared" si="42"/>
        <v>0</v>
      </c>
      <c r="CA27" s="132">
        <f t="shared" si="42"/>
        <v>2.9637606000000001E-6</v>
      </c>
      <c r="CB27" s="132">
        <f t="shared" si="42"/>
        <v>-3.4086156200000001E-4</v>
      </c>
      <c r="CC27" s="132">
        <f t="shared" si="42"/>
        <v>-1.53290574E-2</v>
      </c>
      <c r="CD27" s="132">
        <f t="shared" si="42"/>
        <v>-6.87527796</v>
      </c>
      <c r="CE27" s="133">
        <f t="shared" si="42"/>
        <v>456.23121300000003</v>
      </c>
      <c r="CF27" s="131">
        <f t="shared" si="94"/>
        <v>0</v>
      </c>
      <c r="CG27" s="132">
        <f t="shared" si="94"/>
        <v>-9.62798827E-8</v>
      </c>
      <c r="CH27" s="132">
        <f t="shared" si="94"/>
        <v>8.0031990899999999E-5</v>
      </c>
      <c r="CI27" s="132">
        <f t="shared" si="94"/>
        <v>1.33615595E-3</v>
      </c>
      <c r="CJ27" s="132">
        <f t="shared" si="44"/>
        <v>9.5912590200000007</v>
      </c>
      <c r="CK27" s="131">
        <f t="shared" si="44"/>
        <v>-2.2627979000000001E-4</v>
      </c>
      <c r="CL27" s="132">
        <f t="shared" si="44"/>
        <v>-0.328713064</v>
      </c>
      <c r="CM27" s="133">
        <f t="shared" si="44"/>
        <v>1029.6278400000001</v>
      </c>
      <c r="CN27" s="357"/>
      <c r="CO27" s="113">
        <v>1.5521822000000001E-5</v>
      </c>
      <c r="CP27" s="113">
        <v>-2.6202345800000002E-4</v>
      </c>
      <c r="CQ27" s="113">
        <v>-7.2182182600000006E-2</v>
      </c>
      <c r="CR27" s="113">
        <v>-6.6157536500000003</v>
      </c>
      <c r="CS27" s="116">
        <v>314.82433099999997</v>
      </c>
      <c r="CT27" s="357"/>
      <c r="CU27" s="115">
        <v>-9.9095640499999996E-8</v>
      </c>
      <c r="CV27" s="113">
        <v>6.7601037200000003E-5</v>
      </c>
      <c r="CW27" s="113">
        <v>2.4559859999999998E-3</v>
      </c>
      <c r="CX27" s="116">
        <v>6.7891291300000001</v>
      </c>
      <c r="CY27" s="113">
        <v>-2.5148622100000002E-4</v>
      </c>
      <c r="CZ27" s="113">
        <v>-0.12538123700000001</v>
      </c>
      <c r="DA27" s="423">
        <v>835.89301699999999</v>
      </c>
      <c r="DB27" s="357"/>
      <c r="DC27" s="113">
        <v>2.28546434E-5</v>
      </c>
      <c r="DD27" s="113">
        <v>-2.8082847699999998E-3</v>
      </c>
      <c r="DE27" s="113">
        <v>6.3051114000000005E-2</v>
      </c>
      <c r="DF27" s="113">
        <v>-6.8872129199999996</v>
      </c>
      <c r="DG27" s="116">
        <v>503.73451999999997</v>
      </c>
      <c r="DH27" s="357"/>
      <c r="DI27" s="115">
        <v>-9.3936554200000003E-8</v>
      </c>
      <c r="DJ27" s="113">
        <v>8.2963807600000002E-5</v>
      </c>
      <c r="DK27" s="113">
        <v>5.0605247599999998E-3</v>
      </c>
      <c r="DL27" s="116">
        <v>11.0457006</v>
      </c>
      <c r="DM27" s="113">
        <v>-8.2879687400000003E-5</v>
      </c>
      <c r="DN27" s="113">
        <v>-0.224852364</v>
      </c>
      <c r="DO27" s="423">
        <v>1069.4112299999999</v>
      </c>
      <c r="DP27" s="422"/>
      <c r="DQ27" s="113">
        <v>2.9637606000000001E-6</v>
      </c>
      <c r="DR27" s="113">
        <v>-3.4086156200000001E-4</v>
      </c>
      <c r="DS27" s="113">
        <v>-1.53290574E-2</v>
      </c>
      <c r="DT27" s="113">
        <v>-6.87527796</v>
      </c>
      <c r="DU27" s="116">
        <v>456.23121300000003</v>
      </c>
      <c r="DV27" s="378"/>
      <c r="DW27" s="126">
        <v>-9.62798827E-8</v>
      </c>
      <c r="DX27" s="120">
        <v>8.0031990899999999E-5</v>
      </c>
      <c r="DY27" s="120">
        <v>1.33615595E-3</v>
      </c>
      <c r="DZ27" s="114">
        <v>9.5912590200000007</v>
      </c>
      <c r="EA27" s="113">
        <v>-2.2627979000000001E-4</v>
      </c>
      <c r="EB27" s="113">
        <v>-0.328713064</v>
      </c>
      <c r="EC27" s="423">
        <v>1029.6278400000001</v>
      </c>
      <c r="ED27" s="422"/>
      <c r="EE27" s="113">
        <v>1.32481937E-6</v>
      </c>
      <c r="EF27" s="113">
        <v>-3.6766437599999998E-4</v>
      </c>
      <c r="EG27" s="113">
        <v>1.44323817E-2</v>
      </c>
      <c r="EH27" s="113">
        <v>-4.3523441199999997</v>
      </c>
      <c r="EI27" s="116">
        <v>948.30661499999997</v>
      </c>
      <c r="EJ27" s="378"/>
      <c r="EK27" s="115">
        <v>-4.2489746899999999E-8</v>
      </c>
      <c r="EL27" s="113">
        <v>8.4108736999999998E-5</v>
      </c>
      <c r="EM27" s="113">
        <v>1.7713838199999998E-2</v>
      </c>
      <c r="EN27" s="116">
        <v>39.028604999999999</v>
      </c>
      <c r="EO27" s="395">
        <v>-6.1874253999999999E-5</v>
      </c>
      <c r="EP27" s="395">
        <v>-0.120660507</v>
      </c>
      <c r="EQ27" s="433">
        <v>1673.4426100000001</v>
      </c>
      <c r="ER27" s="137">
        <v>47</v>
      </c>
      <c r="ES27" s="365"/>
      <c r="ET27" s="137">
        <v>47</v>
      </c>
      <c r="EU27" s="365"/>
      <c r="EV27" s="137">
        <f>ER27-5</f>
        <v>42</v>
      </c>
      <c r="EW27" s="365"/>
      <c r="EX27" s="366"/>
      <c r="EY27" s="367"/>
      <c r="EZ27" s="137">
        <f t="shared" si="45"/>
        <v>17.5</v>
      </c>
      <c r="FA27" s="143">
        <f>Tavg_cold</f>
        <v>17</v>
      </c>
      <c r="FB27" s="143">
        <f t="shared" si="46"/>
        <v>17.5</v>
      </c>
      <c r="FC27" s="143">
        <f t="shared" si="47"/>
        <v>17.5</v>
      </c>
      <c r="FD27" s="143">
        <f t="shared" si="46"/>
        <v>17.5</v>
      </c>
      <c r="FE27" s="350"/>
      <c r="FF27" s="351"/>
      <c r="FG27" s="351"/>
      <c r="FH27" s="352"/>
      <c r="FJ27" s="344">
        <f t="shared" si="48"/>
        <v>0.5</v>
      </c>
      <c r="FK27" s="241">
        <f t="shared" si="49"/>
        <v>1.175</v>
      </c>
      <c r="FL27" s="372"/>
      <c r="FM27" s="230">
        <f t="shared" si="87"/>
        <v>0.48110094961216743</v>
      </c>
      <c r="FN27" s="226">
        <f>DU27</f>
        <v>456.23121300000003</v>
      </c>
      <c r="FO27" s="226">
        <f>EI27</f>
        <v>948.30661499999997</v>
      </c>
      <c r="FP27" s="222">
        <f>FN27/FO27</f>
        <v>0.48110094961216743</v>
      </c>
      <c r="FQ27" s="238">
        <f t="shared" si="50"/>
        <v>456.23121300000003</v>
      </c>
      <c r="FR27" s="241">
        <f t="shared" si="51"/>
        <v>0</v>
      </c>
      <c r="FS27" s="242">
        <f t="shared" si="88"/>
        <v>492.07540199999994</v>
      </c>
      <c r="FT27" s="248">
        <f t="shared" si="89"/>
        <v>0</v>
      </c>
      <c r="FU27" s="224">
        <f t="shared" si="95"/>
        <v>17.5</v>
      </c>
      <c r="FV27" s="219">
        <f t="shared" si="52"/>
        <v>21.150000000000002</v>
      </c>
      <c r="FW27" s="224">
        <f t="shared" si="96"/>
        <v>3.6500000000000021</v>
      </c>
      <c r="FX27" s="373"/>
      <c r="FY27" s="373"/>
      <c r="FZ27" s="224">
        <f t="shared" ref="FZ27:FZ37" si="99">IF(FM27&lt;=FP27,FU27,FU27+(FT27*FW27))</f>
        <v>17.5</v>
      </c>
      <c r="GA27" s="373"/>
      <c r="GC27" s="161">
        <f t="shared" si="53"/>
        <v>15.69066559142683</v>
      </c>
      <c r="GE27" s="259">
        <f t="shared" si="54"/>
        <v>0</v>
      </c>
      <c r="GG27" s="305">
        <f t="shared" si="55"/>
        <v>2334.1781978570243</v>
      </c>
      <c r="GH27" s="305">
        <f t="shared" si="56"/>
        <v>16649.305770958781</v>
      </c>
      <c r="GI27" s="305">
        <f t="shared" si="57"/>
        <v>1167.0890989285122</v>
      </c>
      <c r="GJ27" s="305">
        <f t="shared" si="58"/>
        <v>1167.0890989285119</v>
      </c>
      <c r="GK27" s="305">
        <f t="shared" si="59"/>
        <v>7.2478490515896785E-3</v>
      </c>
      <c r="GL27" s="305">
        <f t="shared" si="15"/>
        <v>7.2478490515896785E-3</v>
      </c>
      <c r="GM27" s="305">
        <f t="shared" si="60"/>
        <v>38.490692183503647</v>
      </c>
      <c r="GN27" s="305">
        <f t="shared" si="61"/>
        <v>75.418736155335012</v>
      </c>
      <c r="GO27" s="306">
        <f t="shared" si="16"/>
        <v>7.0098364159078261E-2</v>
      </c>
      <c r="GQ27" s="305">
        <f t="shared" si="62"/>
        <v>3557.0118570174286</v>
      </c>
      <c r="GR27" s="305">
        <f t="shared" si="63"/>
        <v>2267.9102748381065</v>
      </c>
      <c r="GS27" s="305">
        <f t="shared" si="64"/>
        <v>1778.5059285087143</v>
      </c>
      <c r="GT27" s="305">
        <f t="shared" si="65"/>
        <v>1778.5059285087143</v>
      </c>
      <c r="GU27" s="305">
        <f t="shared" si="66"/>
        <v>1778.5059285087143</v>
      </c>
      <c r="GV27" s="307">
        <f t="shared" si="67"/>
        <v>1.1112703645172665E-2</v>
      </c>
      <c r="GW27" s="307">
        <f t="shared" si="68"/>
        <v>1.1112703645172665E-2</v>
      </c>
      <c r="GX27" s="305">
        <f t="shared" si="69"/>
        <v>1.1112703645172665E-2</v>
      </c>
      <c r="GY27" s="305">
        <f t="shared" si="70"/>
        <v>55.477839519976428</v>
      </c>
      <c r="GZ27" s="305">
        <f t="shared" si="71"/>
        <v>55.477839519976428</v>
      </c>
      <c r="HA27" s="305">
        <f t="shared" si="72"/>
        <v>47.820300200537645</v>
      </c>
      <c r="HB27" s="305">
        <f t="shared" si="17"/>
        <v>19.415087041495514</v>
      </c>
      <c r="HC27" s="305">
        <f t="shared" si="18"/>
        <v>19.415087041495514</v>
      </c>
      <c r="HD27" s="529">
        <f t="shared" si="73"/>
        <v>1145.8866223600021</v>
      </c>
      <c r="HE27" s="57">
        <f t="shared" si="7"/>
        <v>456.23121300000003</v>
      </c>
      <c r="HF27" s="57">
        <f t="shared" si="74"/>
        <v>1145.8866223600021</v>
      </c>
      <c r="HG27" s="525">
        <f t="shared" si="9"/>
        <v>17.5</v>
      </c>
      <c r="HH27" s="515">
        <f t="shared" si="10"/>
        <v>17.5</v>
      </c>
      <c r="HI27" s="503">
        <f t="shared" si="75"/>
        <v>1145.8866223600021</v>
      </c>
      <c r="HJ27" s="2">
        <f t="shared" si="90"/>
        <v>1</v>
      </c>
      <c r="HK27" s="503">
        <f t="shared" si="76"/>
        <v>1145.8866223600021</v>
      </c>
      <c r="HL27" s="344">
        <f t="shared" si="77"/>
        <v>0.5</v>
      </c>
      <c r="HM27" s="241">
        <f t="shared" si="78"/>
        <v>1.175</v>
      </c>
      <c r="HN27" s="372"/>
      <c r="HO27" s="230">
        <f t="shared" si="91"/>
        <v>0.48110094961216743</v>
      </c>
      <c r="HP27" s="226">
        <f t="shared" si="79"/>
        <v>456.23121300000003</v>
      </c>
      <c r="HQ27" s="226">
        <f t="shared" si="80"/>
        <v>948.30661499999997</v>
      </c>
      <c r="HR27" s="222">
        <f>HP27/HQ27</f>
        <v>0.48110094961216743</v>
      </c>
      <c r="HS27" s="251">
        <f t="shared" si="11"/>
        <v>456.23121300000003</v>
      </c>
      <c r="HT27" s="241">
        <f t="shared" si="81"/>
        <v>0</v>
      </c>
      <c r="HU27" s="242">
        <f t="shared" si="92"/>
        <v>492.07540199999994</v>
      </c>
      <c r="HV27" s="248">
        <f t="shared" si="93"/>
        <v>0</v>
      </c>
      <c r="HW27" s="224">
        <f t="shared" si="12"/>
        <v>17.5</v>
      </c>
      <c r="HX27" s="219">
        <f t="shared" si="82"/>
        <v>21.150000000000002</v>
      </c>
      <c r="HY27" s="224">
        <f t="shared" si="97"/>
        <v>3.6500000000000021</v>
      </c>
      <c r="HZ27" s="373"/>
      <c r="IA27" s="373"/>
      <c r="IB27" s="224">
        <f t="shared" si="98"/>
        <v>17.5</v>
      </c>
      <c r="IC27" s="373"/>
      <c r="IE27" s="161">
        <f t="shared" si="83"/>
        <v>15.69066559142683</v>
      </c>
      <c r="IG27" s="259" t="e">
        <f t="shared" si="84"/>
        <v>#DIV/0!</v>
      </c>
      <c r="II27" s="305">
        <f t="shared" si="85"/>
        <v>2334.1781978570243</v>
      </c>
      <c r="IJ27" s="305">
        <f t="shared" si="86"/>
        <v>16649.305770958781</v>
      </c>
    </row>
    <row r="28" spans="2:244" ht="15" customHeight="1" x14ac:dyDescent="0.25">
      <c r="B28" s="195">
        <f>IF($AL$5=1,$C28/10,IF($AL$5=2,$C28/10,IF($AL$5=3,0.75,IF($AL$5=4,$C28/10,))))</f>
        <v>0.7</v>
      </c>
      <c r="C28" s="336">
        <v>7</v>
      </c>
      <c r="D28" s="329">
        <f t="shared" si="23"/>
        <v>-176.58230878697927</v>
      </c>
      <c r="E28" s="30">
        <f t="shared" si="24"/>
        <v>-15</v>
      </c>
      <c r="F28" s="330" t="e">
        <f t="shared" si="25"/>
        <v>#NUM!</v>
      </c>
      <c r="G28" s="329">
        <f t="shared" si="26"/>
        <v>5.8527436755953275</v>
      </c>
      <c r="H28" s="32">
        <f t="shared" si="27"/>
        <v>5.8527436755953275</v>
      </c>
      <c r="I28" s="30">
        <f>IF(Geg_dP&lt;AB28,ROUND(((IF('Briza 22 &amp; 26'!$M$4="High Perform. 208/230V (US/EU)",cal!HK28,H28)/Watts)/((Tr_cool-Tv_cool)*1.163))*FlowH2O,IF(UnitsNo=1,0,IF(UnitsNo=2,2))),"")</f>
        <v>3</v>
      </c>
      <c r="J28" s="330">
        <f t="shared" si="28"/>
        <v>5.579193318791106E-4</v>
      </c>
      <c r="K28" s="333">
        <f t="shared" si="29"/>
        <v>0</v>
      </c>
      <c r="L28" s="297">
        <f>IF(Geg_dP&lt;$AB28,0,"")</f>
        <v>0</v>
      </c>
      <c r="M28" s="198">
        <f t="shared" si="30"/>
        <v>0</v>
      </c>
      <c r="N28" s="197">
        <f t="shared" si="31"/>
        <v>0</v>
      </c>
      <c r="O28" s="480">
        <f t="shared" si="32"/>
        <v>0</v>
      </c>
      <c r="P28" s="198" t="e">
        <f t="shared" si="33"/>
        <v>#DIV/0!</v>
      </c>
      <c r="Q28" s="297" t="e">
        <f t="shared" si="34"/>
        <v>#DIV/0!</v>
      </c>
      <c r="R28" s="509" t="e">
        <f t="shared" si="35"/>
        <v>#DIV/0!</v>
      </c>
      <c r="S28" s="36" t="e">
        <f t="shared" si="36"/>
        <v>#DIV/0!</v>
      </c>
      <c r="T28" s="300" t="e">
        <f t="shared" si="37"/>
        <v>#DIV/0!</v>
      </c>
      <c r="U28" s="416">
        <f t="shared" si="38"/>
        <v>0</v>
      </c>
      <c r="V28" s="483" t="e">
        <f t="shared" si="39"/>
        <v>#DIV/0!</v>
      </c>
      <c r="W28" s="513" t="e">
        <f t="shared" si="40"/>
        <v>#DIV/0!</v>
      </c>
      <c r="X28" s="56">
        <f t="shared" si="1"/>
        <v>0.98022799999999999</v>
      </c>
      <c r="Y28" s="56">
        <f t="shared" si="2"/>
        <v>1.2901100000000001</v>
      </c>
      <c r="Z28" s="56">
        <f t="shared" si="2"/>
        <v>1.13171</v>
      </c>
      <c r="AA28" s="56">
        <f t="shared" si="13"/>
        <v>0.98022799999999999</v>
      </c>
      <c r="AB28" s="56">
        <f t="shared" si="14"/>
        <v>69.05</v>
      </c>
      <c r="AC28" s="95">
        <v>0.98022799999999999</v>
      </c>
      <c r="AD28" s="95">
        <v>1.2901100000000001</v>
      </c>
      <c r="AE28" s="95">
        <v>1.13171</v>
      </c>
      <c r="AF28" s="96">
        <f>AF27+((AF29-AF27)/2)</f>
        <v>48</v>
      </c>
      <c r="AG28" s="95">
        <v>0.98022799999999999</v>
      </c>
      <c r="AH28" s="95">
        <v>1.2901100000000001</v>
      </c>
      <c r="AI28" s="95">
        <v>1.13171</v>
      </c>
      <c r="AJ28" s="486">
        <f>AJ27+((AJ29-AJ27)/2)</f>
        <v>80</v>
      </c>
      <c r="AK28" s="487">
        <v>0.98022799999999999</v>
      </c>
      <c r="AL28" s="487">
        <v>1.2901100000000001</v>
      </c>
      <c r="AM28" s="487">
        <v>1.13171</v>
      </c>
      <c r="AN28" s="486">
        <f>AN27+((AN29-AN27)/2)</f>
        <v>69.05</v>
      </c>
      <c r="AO28" s="487">
        <v>1.0471988669409447</v>
      </c>
      <c r="AP28" s="487">
        <v>1.2021874904764758</v>
      </c>
      <c r="AQ28" s="487">
        <v>1.1584541354089894</v>
      </c>
      <c r="AR28" s="486">
        <f>AR27+((AR29-AR27)/2)</f>
        <v>180.6</v>
      </c>
      <c r="AS28" s="488"/>
      <c r="AT28" s="488"/>
      <c r="AU28" s="488"/>
      <c r="AV28" s="488">
        <v>1000</v>
      </c>
      <c r="AW28" s="488"/>
      <c r="AX28" s="488"/>
      <c r="AY28" s="488"/>
      <c r="AZ28" s="488">
        <v>1000</v>
      </c>
      <c r="BA28" s="97"/>
      <c r="BB28" s="97"/>
      <c r="BC28" s="97"/>
      <c r="BD28" s="97">
        <v>1000</v>
      </c>
      <c r="BE28" s="97"/>
      <c r="BF28" s="97"/>
      <c r="BG28" s="97"/>
      <c r="BH28" s="97">
        <v>1000</v>
      </c>
      <c r="BJ28" s="182"/>
      <c r="BK28" s="252"/>
      <c r="BL28" s="253"/>
      <c r="BM28" s="253"/>
      <c r="BN28" s="252"/>
      <c r="BO28" s="253"/>
      <c r="BP28" s="254"/>
      <c r="BQ28" s="252"/>
      <c r="BR28" s="253"/>
      <c r="BS28" s="254"/>
      <c r="BT28" s="252"/>
      <c r="BU28" s="253"/>
      <c r="BV28" s="254"/>
      <c r="BW28" s="252"/>
      <c r="BX28" s="253"/>
      <c r="BY28" s="254"/>
      <c r="BZ28" s="131">
        <f t="shared" si="42"/>
        <v>0</v>
      </c>
      <c r="CA28" s="132">
        <f t="shared" si="42"/>
        <v>0</v>
      </c>
      <c r="CB28" s="132">
        <f t="shared" si="42"/>
        <v>0</v>
      </c>
      <c r="CC28" s="132">
        <f t="shared" si="42"/>
        <v>0</v>
      </c>
      <c r="CD28" s="132">
        <f t="shared" si="42"/>
        <v>0</v>
      </c>
      <c r="CE28" s="133">
        <f t="shared" si="42"/>
        <v>0</v>
      </c>
      <c r="CF28" s="131">
        <f t="shared" si="94"/>
        <v>0</v>
      </c>
      <c r="CG28" s="132">
        <f t="shared" si="94"/>
        <v>0</v>
      </c>
      <c r="CH28" s="132">
        <f t="shared" si="94"/>
        <v>0</v>
      </c>
      <c r="CI28" s="132">
        <f t="shared" si="94"/>
        <v>0</v>
      </c>
      <c r="CJ28" s="132">
        <f t="shared" si="44"/>
        <v>0</v>
      </c>
      <c r="CK28" s="131">
        <f t="shared" si="44"/>
        <v>0</v>
      </c>
      <c r="CL28" s="132">
        <f t="shared" si="44"/>
        <v>0</v>
      </c>
      <c r="CM28" s="133">
        <f t="shared" si="44"/>
        <v>0</v>
      </c>
      <c r="CN28" s="384"/>
      <c r="CO28" s="380"/>
      <c r="CP28" s="380"/>
      <c r="CQ28" s="380"/>
      <c r="CR28" s="380"/>
      <c r="CS28" s="381"/>
      <c r="CT28" s="384"/>
      <c r="CU28" s="380"/>
      <c r="CV28" s="380"/>
      <c r="CW28" s="380"/>
      <c r="CX28" s="381"/>
      <c r="CY28" s="380"/>
      <c r="CZ28" s="380"/>
      <c r="DA28" s="427"/>
      <c r="DB28" s="384"/>
      <c r="DC28" s="380"/>
      <c r="DD28" s="380"/>
      <c r="DE28" s="380"/>
      <c r="DF28" s="380"/>
      <c r="DG28" s="381"/>
      <c r="DH28" s="384"/>
      <c r="DI28" s="380"/>
      <c r="DJ28" s="380"/>
      <c r="DK28" s="380"/>
      <c r="DL28" s="381"/>
      <c r="DM28" s="380"/>
      <c r="DN28" s="380"/>
      <c r="DO28" s="427"/>
      <c r="DP28" s="426"/>
      <c r="DQ28" s="380"/>
      <c r="DR28" s="380"/>
      <c r="DS28" s="380"/>
      <c r="DT28" s="380"/>
      <c r="DU28" s="381"/>
      <c r="DV28" s="375"/>
      <c r="DW28" s="382"/>
      <c r="DX28" s="382"/>
      <c r="DY28" s="382"/>
      <c r="DZ28" s="383"/>
      <c r="EA28" s="380"/>
      <c r="EB28" s="380"/>
      <c r="EC28" s="427"/>
      <c r="ED28" s="422"/>
      <c r="EE28" s="113">
        <v>1.23195739E-6</v>
      </c>
      <c r="EF28" s="113">
        <v>-4.0330761099999999E-4</v>
      </c>
      <c r="EG28" s="113">
        <v>2.3548540100000001E-2</v>
      </c>
      <c r="EH28" s="113">
        <v>-4.1502935699999997</v>
      </c>
      <c r="EI28" s="116">
        <v>1086.48702</v>
      </c>
      <c r="EJ28" s="378"/>
      <c r="EK28" s="115">
        <v>-6.2770093000000005E-8</v>
      </c>
      <c r="EL28" s="113">
        <v>1.33139917E-4</v>
      </c>
      <c r="EM28" s="113">
        <v>9.3332108500000007E-3</v>
      </c>
      <c r="EN28" s="116">
        <v>47.562044399999998</v>
      </c>
      <c r="EO28" s="395">
        <v>-7.0304689700000002E-5</v>
      </c>
      <c r="EP28" s="395">
        <v>-2.5347607599999999E-2</v>
      </c>
      <c r="EQ28" s="433">
        <v>1790.2592199999999</v>
      </c>
      <c r="ER28" s="444"/>
      <c r="ES28" s="441"/>
      <c r="ET28" s="443"/>
      <c r="EU28" s="441"/>
      <c r="EV28" s="443"/>
      <c r="EW28" s="441"/>
      <c r="EX28" s="441"/>
      <c r="EY28" s="442"/>
      <c r="EZ28" s="530">
        <f>IF($BK$17="11",FA28,IF($BK$17="21",FA28,IF($BK$17="12",FC28,IF($BK$17="22",FC28,IF($BK$17="13",FD28,IF($BK$17="23",FD28,IF($BK$17="14",FB28,IF($BK$17="24",FB28,IF($BK$17="31",FE28,IF($BK$17="41",FE28,IF($BK$17="32",FG28,IF($BK$17="42",FG28,IF($BK$17="33",FH28,IF($BK$17="43",FH28,IF($BK$17="34",FF28,IF($BK$17="44",FF28,))))))))))))))))</f>
        <v>17</v>
      </c>
      <c r="FA28" s="143">
        <f>((FA29-FA27)/2)+FA27</f>
        <v>17</v>
      </c>
      <c r="FB28" s="143">
        <f t="shared" si="46"/>
        <v>17</v>
      </c>
      <c r="FC28" s="143">
        <f t="shared" si="47"/>
        <v>17</v>
      </c>
      <c r="FD28" s="143">
        <f t="shared" si="46"/>
        <v>17</v>
      </c>
      <c r="FE28" s="350"/>
      <c r="FF28" s="351"/>
      <c r="FG28" s="351"/>
      <c r="FH28" s="352"/>
      <c r="FJ28" s="344">
        <f t="shared" si="48"/>
        <v>0</v>
      </c>
      <c r="FK28" s="241">
        <f t="shared" si="49"/>
        <v>1.175</v>
      </c>
      <c r="FL28" s="372"/>
      <c r="FM28" s="230">
        <f t="shared" si="87"/>
        <v>0</v>
      </c>
      <c r="FN28" s="226">
        <f>((FN29-FN27)/2)+FN27</f>
        <v>517.69643700000006</v>
      </c>
      <c r="FO28" s="226">
        <f>((FO29-FO27)/2)+FO27</f>
        <v>1086.4870225</v>
      </c>
      <c r="FP28" s="222">
        <f>FN28/FO28</f>
        <v>0.47648653530051721</v>
      </c>
      <c r="FQ28" s="238">
        <f t="shared" si="50"/>
        <v>0</v>
      </c>
      <c r="FR28" s="241">
        <f t="shared" si="51"/>
        <v>0</v>
      </c>
      <c r="FS28" s="242">
        <f t="shared" si="88"/>
        <v>568.79058549999991</v>
      </c>
      <c r="FT28" s="248">
        <f t="shared" si="89"/>
        <v>0</v>
      </c>
      <c r="FU28" s="224">
        <f t="shared" si="95"/>
        <v>17</v>
      </c>
      <c r="FV28" s="219">
        <f t="shared" si="52"/>
        <v>21.150000000000002</v>
      </c>
      <c r="FW28" s="224">
        <f t="shared" si="96"/>
        <v>4.1500000000000021</v>
      </c>
      <c r="FX28" s="373"/>
      <c r="FY28" s="373"/>
      <c r="FZ28" s="224">
        <f t="shared" si="99"/>
        <v>17</v>
      </c>
      <c r="GA28" s="373"/>
      <c r="GC28" s="161">
        <f t="shared" si="53"/>
        <v>15.69066559142683</v>
      </c>
      <c r="GE28" s="259">
        <f t="shared" si="54"/>
        <v>0</v>
      </c>
      <c r="GG28" s="305">
        <f t="shared" si="55"/>
        <v>2334.1781978570243</v>
      </c>
      <c r="GH28" s="305" t="e">
        <f t="shared" si="56"/>
        <v>#DIV/0!</v>
      </c>
      <c r="GI28" s="305">
        <f t="shared" si="57"/>
        <v>1167.0890989285122</v>
      </c>
      <c r="GJ28" s="305">
        <f t="shared" si="58"/>
        <v>1167.0890989285119</v>
      </c>
      <c r="GK28" s="305">
        <f t="shared" si="59"/>
        <v>7.2478490515896785E-3</v>
      </c>
      <c r="GL28" s="305">
        <f t="shared" si="15"/>
        <v>7.2478490515896785E-3</v>
      </c>
      <c r="GM28" s="305">
        <f t="shared" si="60"/>
        <v>38.490692183503647</v>
      </c>
      <c r="GN28" s="305" t="e">
        <f t="shared" si="61"/>
        <v>#DIV/0!</v>
      </c>
      <c r="GO28" s="306" t="e">
        <f t="shared" si="16"/>
        <v>#DIV/0!</v>
      </c>
      <c r="GQ28" s="305">
        <f t="shared" si="62"/>
        <v>3557.0118570174286</v>
      </c>
      <c r="GR28" s="305" t="e">
        <f t="shared" si="63"/>
        <v>#DIV/0!</v>
      </c>
      <c r="GS28" s="305">
        <f t="shared" si="64"/>
        <v>1778.5059285087143</v>
      </c>
      <c r="GT28" s="305">
        <f t="shared" si="65"/>
        <v>1778.5059285087143</v>
      </c>
      <c r="GU28" s="305" t="e">
        <f t="shared" si="66"/>
        <v>#DIV/0!</v>
      </c>
      <c r="GV28" s="307">
        <f t="shared" si="67"/>
        <v>1.1112703645172665E-2</v>
      </c>
      <c r="GW28" s="307">
        <f t="shared" si="68"/>
        <v>1.1112703645172665E-2</v>
      </c>
      <c r="GX28" s="305" t="e">
        <f t="shared" si="69"/>
        <v>#DIV/0!</v>
      </c>
      <c r="GY28" s="305">
        <f t="shared" si="70"/>
        <v>55.477839519976428</v>
      </c>
      <c r="GZ28" s="305" t="e">
        <f t="shared" si="71"/>
        <v>#DIV/0!</v>
      </c>
      <c r="HA28" s="305" t="e">
        <f t="shared" si="72"/>
        <v>#DIV/0!</v>
      </c>
      <c r="HB28" s="305">
        <f t="shared" si="17"/>
        <v>19.415087041495514</v>
      </c>
      <c r="HC28" s="305" t="e">
        <f t="shared" si="18"/>
        <v>#DIV/0!</v>
      </c>
      <c r="HD28" s="529">
        <f t="shared" si="73"/>
        <v>5.8527436755953275</v>
      </c>
      <c r="HE28" s="57">
        <f t="shared" si="7"/>
        <v>0</v>
      </c>
      <c r="HF28" s="57">
        <f t="shared" si="74"/>
        <v>5.8527436755953275</v>
      </c>
      <c r="HG28" s="525">
        <f t="shared" si="9"/>
        <v>17</v>
      </c>
      <c r="HH28" s="57">
        <f t="shared" si="10"/>
        <v>17</v>
      </c>
      <c r="HI28" s="503">
        <f t="shared" si="75"/>
        <v>5.8527436755953275</v>
      </c>
      <c r="HJ28" s="2">
        <f t="shared" si="90"/>
        <v>1</v>
      </c>
      <c r="HK28" s="503">
        <f t="shared" si="76"/>
        <v>5.8527436755953275</v>
      </c>
      <c r="HL28" s="344">
        <f t="shared" si="77"/>
        <v>0</v>
      </c>
      <c r="HM28" s="241">
        <f t="shared" si="78"/>
        <v>1.175</v>
      </c>
      <c r="HN28" s="372"/>
      <c r="HO28" s="230">
        <f t="shared" si="91"/>
        <v>0</v>
      </c>
      <c r="HP28" s="226">
        <f>((HP29-HP27)/2)+HP27</f>
        <v>517.69643700000006</v>
      </c>
      <c r="HQ28" s="226">
        <f t="shared" si="80"/>
        <v>1086.48702</v>
      </c>
      <c r="HR28" s="222">
        <f>HP28/HQ28</f>
        <v>0.4764865363969098</v>
      </c>
      <c r="HS28" s="251">
        <f t="shared" si="11"/>
        <v>0</v>
      </c>
      <c r="HT28" s="241">
        <f t="shared" si="81"/>
        <v>0</v>
      </c>
      <c r="HU28" s="242">
        <f t="shared" si="92"/>
        <v>568.79058299999997</v>
      </c>
      <c r="HV28" s="248">
        <f t="shared" si="93"/>
        <v>0</v>
      </c>
      <c r="HW28" s="224">
        <f t="shared" si="12"/>
        <v>17</v>
      </c>
      <c r="HX28" s="219">
        <f t="shared" si="82"/>
        <v>21.150000000000002</v>
      </c>
      <c r="HY28" s="224">
        <f t="shared" si="97"/>
        <v>4.1500000000000021</v>
      </c>
      <c r="HZ28" s="373"/>
      <c r="IA28" s="373"/>
      <c r="IB28" s="224">
        <f t="shared" si="98"/>
        <v>17</v>
      </c>
      <c r="IC28" s="373"/>
      <c r="IE28" s="161">
        <f t="shared" si="83"/>
        <v>15.69066559142683</v>
      </c>
      <c r="IG28" s="259" t="e">
        <f t="shared" si="84"/>
        <v>#DIV/0!</v>
      </c>
      <c r="II28" s="305">
        <f t="shared" si="85"/>
        <v>2334.1781978570243</v>
      </c>
      <c r="IJ28" s="305" t="e">
        <f t="shared" si="86"/>
        <v>#DIV/0!</v>
      </c>
    </row>
    <row r="29" spans="2:244" ht="15" customHeight="1" x14ac:dyDescent="0.25">
      <c r="B29" s="195">
        <f>IF($AL$5=1,$C29/10,IF($AL$5=2,$C29/10,IF($AL$5=3,1,IF($AL$5=4,$C29/10,))))</f>
        <v>0.8</v>
      </c>
      <c r="C29" s="336">
        <v>8</v>
      </c>
      <c r="D29" s="329">
        <f t="shared" si="23"/>
        <v>6744.3969588288546</v>
      </c>
      <c r="E29" s="30">
        <f t="shared" si="24"/>
        <v>580</v>
      </c>
      <c r="F29" s="330">
        <f t="shared" si="25"/>
        <v>8.480774212087125</v>
      </c>
      <c r="G29" s="329">
        <f t="shared" si="26"/>
        <v>1371.8997657119116</v>
      </c>
      <c r="H29" s="32">
        <f t="shared" si="27"/>
        <v>1371.8997657119116</v>
      </c>
      <c r="I29" s="30">
        <f>IF(Geg_dP&lt;AB29,ROUND(((IF('Briza 22 &amp; 26'!$M$4="High Perform. 208/230V (US/EU)",cal!HK29,H29)/Watts)/((Tr_cool-Tv_cool)*1.163))*FlowH2O,IF(UnitsNo=1,0,IF(UnitsNo=2,2))),"")</f>
        <v>590</v>
      </c>
      <c r="J29" s="330">
        <f t="shared" si="28"/>
        <v>8.7501341003253881</v>
      </c>
      <c r="K29" s="333">
        <f t="shared" si="29"/>
        <v>45</v>
      </c>
      <c r="L29" s="297">
        <f>IF(Geg_dP&lt;$AB29,IF(CalcNo="12",$ET29,IF(CalcNo="22",$ET29,IF(CalcNo="13",$EU29,IF(CalcNo="23",$EU29,IF(CalcNo="11",$ER29,IF(CalcNo="21",$ER29,IF(CalcNo="14",$ES29,IF(CalcNo="24",$ES29,IF(CalcNo="32",$EX29,IF(CalcNo="42",$EX29,IF(CalcNo="33",$EY29,IF(CalcNo="43",$EY29,IF(CalcNo="31",$EV29,IF(CalcNo="41",$EV29,IF(CalcNo="34",$EW29,IF(CalcNo="44",$EW29,)))))))))))))))),"")</f>
        <v>53</v>
      </c>
      <c r="M29" s="198">
        <f t="shared" si="30"/>
        <v>31.879079582988997</v>
      </c>
      <c r="N29" s="197">
        <f t="shared" si="31"/>
        <v>579.16166099999998</v>
      </c>
      <c r="O29" s="480">
        <f t="shared" si="32"/>
        <v>0.97501963131313119</v>
      </c>
      <c r="P29" s="198">
        <f t="shared" si="33"/>
        <v>54.182128860973364</v>
      </c>
      <c r="Q29" s="297">
        <f t="shared" si="34"/>
        <v>24.365262170767551</v>
      </c>
      <c r="R29" s="509">
        <f t="shared" si="35"/>
        <v>19.959546895047005</v>
      </c>
      <c r="S29" s="36">
        <f t="shared" si="36"/>
        <v>17.128859131157803</v>
      </c>
      <c r="T29" s="300">
        <f t="shared" si="37"/>
        <v>0.76384893426171485</v>
      </c>
      <c r="U29" s="416">
        <f t="shared" si="38"/>
        <v>1002.7134849674694</v>
      </c>
      <c r="V29" s="483">
        <f t="shared" si="39"/>
        <v>0.19815656702932274</v>
      </c>
      <c r="W29" s="513">
        <f t="shared" si="40"/>
        <v>2.3687682698871044</v>
      </c>
      <c r="X29" s="56">
        <f t="shared" si="1"/>
        <v>0.98022799999999999</v>
      </c>
      <c r="Y29" s="56">
        <f t="shared" si="2"/>
        <v>1.2901100000000001</v>
      </c>
      <c r="Z29" s="56">
        <f t="shared" si="2"/>
        <v>1.13171</v>
      </c>
      <c r="AA29" s="56">
        <f t="shared" si="13"/>
        <v>0.98022799999999999</v>
      </c>
      <c r="AB29" s="56">
        <f t="shared" si="14"/>
        <v>85.88</v>
      </c>
      <c r="AC29" s="95">
        <v>0.98022799999999999</v>
      </c>
      <c r="AD29" s="95">
        <v>1.2901100000000001</v>
      </c>
      <c r="AE29" s="95">
        <v>1.13171</v>
      </c>
      <c r="AF29" s="96">
        <v>61</v>
      </c>
      <c r="AG29" s="95">
        <v>0.98022799999999999</v>
      </c>
      <c r="AH29" s="95">
        <v>1.2901100000000001</v>
      </c>
      <c r="AI29" s="95">
        <v>1.13171</v>
      </c>
      <c r="AJ29" s="486">
        <v>100</v>
      </c>
      <c r="AK29" s="487">
        <v>0.98022799999999999</v>
      </c>
      <c r="AL29" s="487">
        <v>1.2901100000000001</v>
      </c>
      <c r="AM29" s="487">
        <v>1.13171</v>
      </c>
      <c r="AN29" s="486">
        <v>85.88</v>
      </c>
      <c r="AO29" s="487">
        <v>1.0471988669409447</v>
      </c>
      <c r="AP29" s="487">
        <v>1.2021874904764758</v>
      </c>
      <c r="AQ29" s="487">
        <v>1.1584541354089894</v>
      </c>
      <c r="AR29" s="486">
        <v>206.2</v>
      </c>
      <c r="AS29" s="488"/>
      <c r="AT29" s="488"/>
      <c r="AU29" s="488"/>
      <c r="AV29" s="488">
        <v>1000</v>
      </c>
      <c r="AW29" s="488"/>
      <c r="AX29" s="488"/>
      <c r="AY29" s="488"/>
      <c r="AZ29" s="488">
        <v>1000</v>
      </c>
      <c r="BA29" s="97"/>
      <c r="BB29" s="97"/>
      <c r="BC29" s="97"/>
      <c r="BD29" s="97">
        <v>1000</v>
      </c>
      <c r="BE29" s="97"/>
      <c r="BF29" s="97"/>
      <c r="BG29" s="97"/>
      <c r="BH29" s="97">
        <v>1000</v>
      </c>
      <c r="BJ29" s="182"/>
      <c r="BK29" s="82">
        <f t="shared" ref="BK29:BM30" si="100">IF($BK$17="11",BN29,IF($BK$17="21",BQ29,IF($BK$17="12",BN29,IF($BK$17="22",BQ29,IF($BK$17="13",BN29,IF($BK$17="23",BQ29,IF($BK$17="14",BN29,IF($BK$17="24",BQ29,IF($BK$17="31",BT29,IF($BK$17="41",BW29,IF($BK$17="32",BT29,IF($BK$17="42",BW29,IF($BK$17="33",BT29,IF($BK$17="43",BW29,IF($BK$17="34",BT29,IF($BK$17="44",BW29,))))))))))))))))</f>
        <v>8.9218676400000003</v>
      </c>
      <c r="BL29" s="83">
        <f t="shared" si="100"/>
        <v>6.1862620899999996</v>
      </c>
      <c r="BM29" s="83">
        <f t="shared" si="100"/>
        <v>7.4795075673250196E-5</v>
      </c>
      <c r="BN29" s="103">
        <v>8.9218676400000003</v>
      </c>
      <c r="BO29" s="104">
        <v>6.1862620899999996</v>
      </c>
      <c r="BP29" s="105">
        <v>7.4795075673250196E-5</v>
      </c>
      <c r="BQ29" s="103">
        <v>4.1314953699999997</v>
      </c>
      <c r="BR29" s="104">
        <f>BO29</f>
        <v>6.1862620899999996</v>
      </c>
      <c r="BS29" s="105">
        <f>+BP29</f>
        <v>7.4795075673250196E-5</v>
      </c>
      <c r="BT29" s="97">
        <v>0</v>
      </c>
      <c r="BU29" s="97">
        <v>0</v>
      </c>
      <c r="BV29" s="97">
        <v>0</v>
      </c>
      <c r="BW29" s="97">
        <v>0</v>
      </c>
      <c r="BX29" s="97">
        <v>0</v>
      </c>
      <c r="BY29" s="97">
        <v>0</v>
      </c>
      <c r="BZ29" s="131">
        <f t="shared" si="42"/>
        <v>0</v>
      </c>
      <c r="CA29" s="132">
        <f t="shared" si="42"/>
        <v>1.9694812599999998E-8</v>
      </c>
      <c r="CB29" s="132">
        <f t="shared" si="42"/>
        <v>5.1587639099999999E-5</v>
      </c>
      <c r="CC29" s="132">
        <f t="shared" si="42"/>
        <v>-2.08433305E-2</v>
      </c>
      <c r="CD29" s="132">
        <f t="shared" si="42"/>
        <v>-5.0927080399999998</v>
      </c>
      <c r="CE29" s="133">
        <f t="shared" si="42"/>
        <v>579.16166099999998</v>
      </c>
      <c r="CF29" s="131">
        <f t="shared" si="94"/>
        <v>0</v>
      </c>
      <c r="CG29" s="132">
        <f t="shared" si="94"/>
        <v>-8.8413042300000004E-8</v>
      </c>
      <c r="CH29" s="132">
        <f t="shared" si="94"/>
        <v>9.0177162599999993E-5</v>
      </c>
      <c r="CI29" s="132">
        <f t="shared" si="94"/>
        <v>4.0224958100000003E-3</v>
      </c>
      <c r="CJ29" s="132">
        <f t="shared" si="44"/>
        <v>16.477189800000001</v>
      </c>
      <c r="CK29" s="131">
        <f t="shared" si="44"/>
        <v>-1.7354020700000001E-4</v>
      </c>
      <c r="CL29" s="132">
        <f t="shared" si="44"/>
        <v>-0.40674374099999999</v>
      </c>
      <c r="CM29" s="133">
        <f t="shared" si="44"/>
        <v>1296.49415</v>
      </c>
      <c r="CN29" s="357"/>
      <c r="CO29" s="113">
        <v>8.7872539799999992E-6</v>
      </c>
      <c r="CP29" s="113">
        <v>-8.2518574200000005E-4</v>
      </c>
      <c r="CQ29" s="113">
        <v>-1.43398681E-2</v>
      </c>
      <c r="CR29" s="113">
        <v>-5.1623478499999997</v>
      </c>
      <c r="CS29" s="116">
        <v>435.112842</v>
      </c>
      <c r="CT29" s="357"/>
      <c r="CU29" s="115">
        <v>-8.6606984599999994E-8</v>
      </c>
      <c r="CV29" s="113">
        <v>8.1955259099999997E-5</v>
      </c>
      <c r="CW29" s="113">
        <v>3.86369648E-3</v>
      </c>
      <c r="CX29" s="116">
        <v>11.4790949</v>
      </c>
      <c r="CY29" s="113">
        <v>-2.17152168E-4</v>
      </c>
      <c r="CZ29" s="113">
        <v>-0.15583371100000001</v>
      </c>
      <c r="DA29" s="423">
        <v>1080.8009099999999</v>
      </c>
      <c r="DB29" s="357"/>
      <c r="DC29" s="113">
        <v>1.66933886E-6</v>
      </c>
      <c r="DD29" s="113">
        <v>-4.1000650199999998E-4</v>
      </c>
      <c r="DE29" s="113">
        <v>1.2203242E-2</v>
      </c>
      <c r="DF29" s="113">
        <v>-5.3777187800000004</v>
      </c>
      <c r="DG29" s="116">
        <v>670.06530899999996</v>
      </c>
      <c r="DH29" s="357"/>
      <c r="DI29" s="115">
        <v>-8.9983515100000003E-8</v>
      </c>
      <c r="DJ29" s="113">
        <v>9.9729688200000005E-5</v>
      </c>
      <c r="DK29" s="113">
        <v>9.1411580599999997E-3</v>
      </c>
      <c r="DL29" s="116">
        <v>19.805768799999999</v>
      </c>
      <c r="DM29" s="113">
        <v>-4.4486334099999999E-5</v>
      </c>
      <c r="DN29" s="113">
        <v>-0.294994003</v>
      </c>
      <c r="DO29" s="423">
        <v>1376.1970100000001</v>
      </c>
      <c r="DP29" s="422"/>
      <c r="DQ29" s="113">
        <v>1.9694812599999998E-8</v>
      </c>
      <c r="DR29" s="113">
        <v>5.1587639099999999E-5</v>
      </c>
      <c r="DS29" s="113">
        <v>-2.08433305E-2</v>
      </c>
      <c r="DT29" s="113">
        <v>-5.0927080399999998</v>
      </c>
      <c r="DU29" s="116">
        <v>579.16166099999998</v>
      </c>
      <c r="DV29" s="378"/>
      <c r="DW29" s="126">
        <v>-8.8413042300000004E-8</v>
      </c>
      <c r="DX29" s="120">
        <v>9.0177162599999993E-5</v>
      </c>
      <c r="DY29" s="120">
        <v>4.0224958100000003E-3</v>
      </c>
      <c r="DZ29" s="114">
        <v>16.477189800000001</v>
      </c>
      <c r="EA29" s="113">
        <f xml:space="preserve"> -0.000173540207</f>
        <v>-1.7354020700000001E-4</v>
      </c>
      <c r="EB29" s="113">
        <v>-0.40674374099999999</v>
      </c>
      <c r="EC29" s="423">
        <v>1296.49415</v>
      </c>
      <c r="ED29" s="422"/>
      <c r="EE29" s="113">
        <v>1.1390954099999999E-6</v>
      </c>
      <c r="EF29" s="113">
        <v>-4.38950845E-4</v>
      </c>
      <c r="EG29" s="113">
        <v>3.2664698499999999E-2</v>
      </c>
      <c r="EH29" s="113">
        <v>-3.9482430100000001</v>
      </c>
      <c r="EI29" s="116">
        <v>1224.66743</v>
      </c>
      <c r="EJ29" s="378"/>
      <c r="EK29" s="115">
        <v>-8.3050438999999997E-8</v>
      </c>
      <c r="EL29" s="113">
        <v>1.8217109700000001E-4</v>
      </c>
      <c r="EM29" s="113">
        <v>9.5258349799999997E-4</v>
      </c>
      <c r="EN29" s="116">
        <v>56.095483799999997</v>
      </c>
      <c r="EO29" s="395">
        <v>-7.8735125400000006E-5</v>
      </c>
      <c r="EP29" s="395">
        <v>6.9965291799999996E-2</v>
      </c>
      <c r="EQ29" s="433">
        <v>1907.07584</v>
      </c>
      <c r="ER29" s="137">
        <v>53</v>
      </c>
      <c r="ES29" s="365"/>
      <c r="ET29" s="137">
        <v>53</v>
      </c>
      <c r="EU29" s="365"/>
      <c r="EV29" s="137">
        <f>ER29-5</f>
        <v>48</v>
      </c>
      <c r="EW29" s="365"/>
      <c r="EX29" s="366"/>
      <c r="EY29" s="367"/>
      <c r="EZ29" s="137">
        <f t="shared" si="45"/>
        <v>17.5</v>
      </c>
      <c r="FA29" s="143">
        <f>Tavg_cold</f>
        <v>17</v>
      </c>
      <c r="FB29" s="143">
        <f>IF($GC29&lt;=$FC29,$FC29,IF($FM29&lt;=$FP29,$FC29,$FZ29))</f>
        <v>17.5</v>
      </c>
      <c r="FC29" s="143">
        <f t="shared" si="47"/>
        <v>17.5</v>
      </c>
      <c r="FD29" s="143">
        <f>IF($GC29&lt;=$FC29,$FC29,IF($FM29&lt;=$FP29,$FC29,$FZ29))</f>
        <v>17.5</v>
      </c>
      <c r="FE29" s="350"/>
      <c r="FF29" s="351"/>
      <c r="FG29" s="351"/>
      <c r="FH29" s="352"/>
      <c r="FJ29" s="344">
        <f t="shared" si="48"/>
        <v>0.5</v>
      </c>
      <c r="FK29" s="241">
        <f t="shared" si="49"/>
        <v>1.175</v>
      </c>
      <c r="FL29" s="372"/>
      <c r="FM29" s="230">
        <f t="shared" si="87"/>
        <v>0.4729134186250058</v>
      </c>
      <c r="FN29" s="226">
        <f>DU29</f>
        <v>579.16166099999998</v>
      </c>
      <c r="FO29" s="226">
        <f>EI29</f>
        <v>1224.66743</v>
      </c>
      <c r="FP29" s="222">
        <f>FP30</f>
        <v>0.555903345122847</v>
      </c>
      <c r="FQ29" s="238">
        <f t="shared" si="50"/>
        <v>579.16166099999998</v>
      </c>
      <c r="FR29" s="241">
        <f t="shared" si="51"/>
        <v>0</v>
      </c>
      <c r="FS29" s="242">
        <f t="shared" si="88"/>
        <v>543.87070899999992</v>
      </c>
      <c r="FT29" s="248">
        <f t="shared" si="89"/>
        <v>0</v>
      </c>
      <c r="FU29" s="224">
        <f t="shared" si="95"/>
        <v>17.5</v>
      </c>
      <c r="FV29" s="219">
        <f t="shared" si="52"/>
        <v>21.150000000000002</v>
      </c>
      <c r="FW29" s="224">
        <f t="shared" si="96"/>
        <v>3.6500000000000021</v>
      </c>
      <c r="FX29" s="373"/>
      <c r="FY29" s="373"/>
      <c r="FZ29" s="224">
        <f t="shared" si="99"/>
        <v>17.5</v>
      </c>
      <c r="GA29" s="373"/>
      <c r="GC29" s="161">
        <f t="shared" si="53"/>
        <v>15.69066559142683</v>
      </c>
      <c r="GE29" s="259">
        <f t="shared" si="54"/>
        <v>0</v>
      </c>
      <c r="GG29" s="305">
        <f t="shared" si="55"/>
        <v>2334.1781978570243</v>
      </c>
      <c r="GH29" s="305">
        <f t="shared" si="56"/>
        <v>15077.064713760918</v>
      </c>
      <c r="GI29" s="305">
        <f t="shared" si="57"/>
        <v>1167.0890989285122</v>
      </c>
      <c r="GJ29" s="305">
        <f t="shared" si="58"/>
        <v>1167.0890989285119</v>
      </c>
      <c r="GK29" s="305">
        <f t="shared" si="59"/>
        <v>7.2478490515896785E-3</v>
      </c>
      <c r="GL29" s="305">
        <f t="shared" si="15"/>
        <v>7.2478490515896785E-3</v>
      </c>
      <c r="GM29" s="305">
        <f t="shared" si="60"/>
        <v>38.490692183503647</v>
      </c>
      <c r="GN29" s="305">
        <f t="shared" si="61"/>
        <v>73.307018410942504</v>
      </c>
      <c r="GO29" s="306">
        <f t="shared" si="16"/>
        <v>7.7408243652579367E-2</v>
      </c>
      <c r="GQ29" s="305">
        <f t="shared" si="62"/>
        <v>3557.0118570174286</v>
      </c>
      <c r="GR29" s="305">
        <f t="shared" si="63"/>
        <v>2328.3477252314278</v>
      </c>
      <c r="GS29" s="305">
        <f t="shared" si="64"/>
        <v>1778.5059285087143</v>
      </c>
      <c r="GT29" s="305">
        <f t="shared" si="65"/>
        <v>1778.5059285087143</v>
      </c>
      <c r="GU29" s="305">
        <f t="shared" si="66"/>
        <v>1778.5059285087143</v>
      </c>
      <c r="GV29" s="307">
        <f t="shared" si="67"/>
        <v>1.1112703645172665E-2</v>
      </c>
      <c r="GW29" s="307">
        <f t="shared" si="68"/>
        <v>1.1112703645172665E-2</v>
      </c>
      <c r="GX29" s="305">
        <f t="shared" si="69"/>
        <v>1.1112703645172665E-2</v>
      </c>
      <c r="GY29" s="305">
        <f t="shared" si="70"/>
        <v>55.477839519976428</v>
      </c>
      <c r="GZ29" s="305">
        <f t="shared" si="71"/>
        <v>55.477839519976428</v>
      </c>
      <c r="HA29" s="305">
        <f t="shared" si="72"/>
        <v>48.255878212687314</v>
      </c>
      <c r="HB29" s="305">
        <f t="shared" si="17"/>
        <v>19.415087041495514</v>
      </c>
      <c r="HC29" s="305">
        <f t="shared" si="18"/>
        <v>19.415087041495514</v>
      </c>
      <c r="HD29" s="529">
        <f t="shared" si="73"/>
        <v>1371.8997657119116</v>
      </c>
      <c r="HE29" s="57">
        <f t="shared" si="7"/>
        <v>579.16166099999998</v>
      </c>
      <c r="HF29" s="57">
        <f t="shared" si="74"/>
        <v>1371.8997657119116</v>
      </c>
      <c r="HG29" s="525">
        <f t="shared" si="9"/>
        <v>17.5</v>
      </c>
      <c r="HH29" s="57">
        <f t="shared" si="10"/>
        <v>17.5</v>
      </c>
      <c r="HI29" s="503">
        <f t="shared" si="75"/>
        <v>1371.8997657119116</v>
      </c>
      <c r="HJ29" s="2">
        <f t="shared" si="90"/>
        <v>1</v>
      </c>
      <c r="HK29" s="503">
        <f t="shared" si="76"/>
        <v>1371.8997657119116</v>
      </c>
      <c r="HL29" s="344">
        <f t="shared" si="77"/>
        <v>0.5</v>
      </c>
      <c r="HM29" s="241">
        <f t="shared" si="78"/>
        <v>1.175</v>
      </c>
      <c r="HN29" s="372"/>
      <c r="HO29" s="230">
        <f t="shared" si="91"/>
        <v>0.4729134186250058</v>
      </c>
      <c r="HP29" s="226">
        <f t="shared" si="79"/>
        <v>579.16166099999998</v>
      </c>
      <c r="HQ29" s="226">
        <f t="shared" si="80"/>
        <v>1224.66743</v>
      </c>
      <c r="HR29" s="222">
        <f>HR30</f>
        <v>0.555903345122847</v>
      </c>
      <c r="HS29" s="251">
        <f t="shared" si="11"/>
        <v>579.16166099999998</v>
      </c>
      <c r="HT29" s="241">
        <f t="shared" si="81"/>
        <v>0</v>
      </c>
      <c r="HU29" s="242">
        <f t="shared" si="92"/>
        <v>543.87070899999992</v>
      </c>
      <c r="HV29" s="248">
        <f t="shared" si="93"/>
        <v>0</v>
      </c>
      <c r="HW29" s="224">
        <f t="shared" si="12"/>
        <v>17.5</v>
      </c>
      <c r="HX29" s="219">
        <f t="shared" si="82"/>
        <v>21.150000000000002</v>
      </c>
      <c r="HY29" s="224">
        <f t="shared" si="97"/>
        <v>3.6500000000000021</v>
      </c>
      <c r="HZ29" s="373"/>
      <c r="IA29" s="373"/>
      <c r="IB29" s="224">
        <f t="shared" si="98"/>
        <v>17.5</v>
      </c>
      <c r="IC29" s="373"/>
      <c r="IE29" s="161">
        <f t="shared" si="83"/>
        <v>15.69066559142683</v>
      </c>
      <c r="IG29" s="259" t="e">
        <f t="shared" si="84"/>
        <v>#DIV/0!</v>
      </c>
      <c r="II29" s="305">
        <f t="shared" si="85"/>
        <v>2334.1781978570243</v>
      </c>
      <c r="IJ29" s="305">
        <f t="shared" si="86"/>
        <v>15077.064713760918</v>
      </c>
    </row>
    <row r="30" spans="2:244" ht="15" customHeight="1" x14ac:dyDescent="0.25">
      <c r="B30" s="195">
        <v>1</v>
      </c>
      <c r="C30" s="336">
        <v>10</v>
      </c>
      <c r="D30" s="329">
        <f t="shared" si="23"/>
        <v>7515.1393634362894</v>
      </c>
      <c r="E30" s="30">
        <f t="shared" si="24"/>
        <v>646</v>
      </c>
      <c r="F30" s="330">
        <f t="shared" si="25"/>
        <v>10.328690311651778</v>
      </c>
      <c r="G30" s="329">
        <f t="shared" si="26"/>
        <v>1532.7406174704122</v>
      </c>
      <c r="H30" s="32">
        <f t="shared" si="27"/>
        <v>1532.7406174704122</v>
      </c>
      <c r="I30" s="30">
        <f>IF(Geg_dP&lt;AB30,ROUND(((IF('Briza 22 &amp; 26'!$M$4="High Perform. 208/230V (US/EU)",cal!HK30,H30)/Watts)/((Tr_cool-Tv_cool)*1.163))*FlowH2O,IF(UnitsNo=1,0,IF(UnitsNo=2,2))),"")</f>
        <v>659</v>
      </c>
      <c r="J30" s="330">
        <f t="shared" si="28"/>
        <v>10.712040232877664</v>
      </c>
      <c r="K30" s="333">
        <f t="shared" si="29"/>
        <v>49</v>
      </c>
      <c r="L30" s="297">
        <f>IF(Geg_dP&lt;$AB30,IF(CalcNo="12",$ET30,IF(CalcNo="22",$ET30,IF(CalcNo="13",$EU30,IF(CalcNo="23",$EU30,IF(CalcNo="11",$ER30,IF(CalcNo="21",$ER30,IF(CalcNo="14",$ES30,IF(CalcNo="24",$ES30,IF(CalcNo="32",$EX30,IF(CalcNo="42",$EX30,IF(CalcNo="33",$EY30,IF(CalcNo="43",$EY30,IF(CalcNo="31",$EV30,IF(CalcNo="41",$EV30,IF(CalcNo="34",$EW30,IF(CalcNo="44",$EW30,)))))))))))))))),"")</f>
        <v>57</v>
      </c>
      <c r="M30" s="198">
        <f>IF(Geg_dP&lt;$AB30,($CF30*(($N30*CFMs)^4))+($CG30*(($N30*CFMs)^3))+($CH30*(($N30*CFMs)^2))+($CI30*($N30*CFMs))+$CJ30,"")</f>
        <v>46.363581461802681</v>
      </c>
      <c r="N30" s="197">
        <f t="shared" si="31"/>
        <v>680.79672100000005</v>
      </c>
      <c r="O30" s="480">
        <f t="shared" si="32"/>
        <v>1.1461224259259259</v>
      </c>
      <c r="P30" s="198">
        <f t="shared" si="33"/>
        <v>52.402265147039785</v>
      </c>
      <c r="Q30" s="297">
        <f t="shared" si="34"/>
        <v>23.90032537638189</v>
      </c>
      <c r="R30" s="509">
        <f t="shared" si="35"/>
        <v>20.308411222994504</v>
      </c>
      <c r="S30" s="36">
        <f t="shared" si="36"/>
        <v>17.246683477907272</v>
      </c>
      <c r="T30" s="300">
        <f t="shared" si="37"/>
        <v>0.74756962623939527</v>
      </c>
      <c r="U30" s="416">
        <f t="shared" si="38"/>
        <v>1119.0768344085554</v>
      </c>
      <c r="V30" s="483">
        <f t="shared" si="39"/>
        <v>0.24516700523663312</v>
      </c>
      <c r="W30" s="513">
        <f t="shared" si="40"/>
        <v>2.2513924791221376</v>
      </c>
      <c r="X30" s="56">
        <f t="shared" si="1"/>
        <v>0.98022799999999999</v>
      </c>
      <c r="Y30" s="56">
        <f t="shared" si="2"/>
        <v>1.2901100000000001</v>
      </c>
      <c r="Z30" s="56">
        <f t="shared" si="2"/>
        <v>1.13171</v>
      </c>
      <c r="AA30" s="56">
        <f t="shared" si="13"/>
        <v>0.98022799999999999</v>
      </c>
      <c r="AB30" s="56">
        <f t="shared" si="14"/>
        <v>115.48</v>
      </c>
      <c r="AC30" s="95">
        <v>0.98022799999999999</v>
      </c>
      <c r="AD30" s="95">
        <v>1.2901100000000001</v>
      </c>
      <c r="AE30" s="95">
        <v>1.13171</v>
      </c>
      <c r="AF30" s="96">
        <v>82</v>
      </c>
      <c r="AG30" s="95">
        <v>0.98022799999999999</v>
      </c>
      <c r="AH30" s="95">
        <v>1.2901100000000001</v>
      </c>
      <c r="AI30" s="95">
        <v>1.13171</v>
      </c>
      <c r="AJ30" s="486">
        <v>136</v>
      </c>
      <c r="AK30" s="487">
        <v>0.98022799999999999</v>
      </c>
      <c r="AL30" s="487">
        <v>1.2901100000000001</v>
      </c>
      <c r="AM30" s="487">
        <v>1.13171</v>
      </c>
      <c r="AN30" s="486">
        <v>115.48</v>
      </c>
      <c r="AO30" s="487">
        <v>1.0471988669409447</v>
      </c>
      <c r="AP30" s="487">
        <v>1.2021874904764758</v>
      </c>
      <c r="AQ30" s="487">
        <v>1.1584541354089894</v>
      </c>
      <c r="AR30" s="486">
        <f>AR29</f>
        <v>206.2</v>
      </c>
      <c r="AS30" s="488"/>
      <c r="AT30" s="488"/>
      <c r="AU30" s="488"/>
      <c r="AV30" s="488">
        <v>1000</v>
      </c>
      <c r="AW30" s="488"/>
      <c r="AX30" s="488"/>
      <c r="AY30" s="488"/>
      <c r="AZ30" s="488">
        <v>1000</v>
      </c>
      <c r="BA30" s="97"/>
      <c r="BB30" s="97"/>
      <c r="BC30" s="97"/>
      <c r="BD30" s="97">
        <v>1000</v>
      </c>
      <c r="BE30" s="97"/>
      <c r="BF30" s="97"/>
      <c r="BG30" s="97"/>
      <c r="BH30" s="97">
        <v>1000</v>
      </c>
      <c r="BJ30" s="182"/>
      <c r="BK30" s="84">
        <f t="shared" si="100"/>
        <v>-100.572988</v>
      </c>
      <c r="BL30" s="85">
        <f t="shared" si="100"/>
        <v>11.993211000000001</v>
      </c>
      <c r="BM30" s="85">
        <f t="shared" si="100"/>
        <v>1.8290914425086318</v>
      </c>
      <c r="BN30" s="103">
        <v>-100.572988</v>
      </c>
      <c r="BO30" s="104">
        <v>11.993211000000001</v>
      </c>
      <c r="BP30" s="106">
        <v>1.8290914425086318</v>
      </c>
      <c r="BQ30" s="103">
        <v>42.786274200000001</v>
      </c>
      <c r="BR30" s="104">
        <f>BO30</f>
        <v>11.993211000000001</v>
      </c>
      <c r="BS30" s="106">
        <f>+BP30</f>
        <v>1.8290914425086318</v>
      </c>
      <c r="BT30" s="97">
        <v>0</v>
      </c>
      <c r="BU30" s="97">
        <v>0</v>
      </c>
      <c r="BV30" s="97">
        <v>0</v>
      </c>
      <c r="BW30" s="97">
        <v>0</v>
      </c>
      <c r="BX30" s="97">
        <v>0</v>
      </c>
      <c r="BY30" s="97">
        <v>0</v>
      </c>
      <c r="BZ30" s="131">
        <f t="shared" si="42"/>
        <v>0</v>
      </c>
      <c r="CA30" s="132">
        <f t="shared" si="42"/>
        <v>-1.1439459899999999E-6</v>
      </c>
      <c r="CB30" s="132">
        <f t="shared" si="42"/>
        <v>2.7220697899999998E-4</v>
      </c>
      <c r="CC30" s="132">
        <f t="shared" si="42"/>
        <v>-2.6900590200000001E-2</v>
      </c>
      <c r="CD30" s="132">
        <f t="shared" si="42"/>
        <v>-4.4948121600000004</v>
      </c>
      <c r="CE30" s="133">
        <f t="shared" si="42"/>
        <v>680.79672100000005</v>
      </c>
      <c r="CF30" s="131">
        <f t="shared" si="94"/>
        <v>0</v>
      </c>
      <c r="CG30" s="132">
        <f t="shared" si="94"/>
        <v>-3.9997823800000003E-7</v>
      </c>
      <c r="CH30" s="132">
        <f t="shared" si="94"/>
        <v>2.7682436300000002E-4</v>
      </c>
      <c r="CI30" s="132">
        <f t="shared" si="94"/>
        <v>9.1966960899999995E-3</v>
      </c>
      <c r="CJ30" s="132">
        <f t="shared" si="44"/>
        <v>23.964647899999999</v>
      </c>
      <c r="CK30" s="131">
        <f t="shared" si="44"/>
        <v>-1.26308006E-4</v>
      </c>
      <c r="CL30" s="132">
        <f t="shared" si="44"/>
        <v>-0.46048671200000002</v>
      </c>
      <c r="CM30" s="133">
        <f t="shared" si="44"/>
        <v>1491.11644</v>
      </c>
      <c r="CN30" s="358"/>
      <c r="CO30" s="117">
        <v>2.5698969799999998E-6</v>
      </c>
      <c r="CP30" s="117">
        <v>-3.87324863E-4</v>
      </c>
      <c r="CQ30" s="117">
        <v>-3.58428489E-3</v>
      </c>
      <c r="CR30" s="117">
        <v>-4.8455878099999996</v>
      </c>
      <c r="CS30" s="118">
        <v>519.73946100000001</v>
      </c>
      <c r="CT30" s="358"/>
      <c r="CU30" s="119">
        <v>-4.0403113699999999E-7</v>
      </c>
      <c r="CV30" s="117">
        <v>2.51694287E-4</v>
      </c>
      <c r="CW30" s="117">
        <v>1.15735178E-2</v>
      </c>
      <c r="CX30" s="169">
        <v>15.6660152</v>
      </c>
      <c r="CY30" s="113">
        <v>-1.69777536E-4</v>
      </c>
      <c r="CZ30" s="113">
        <v>-0.18917546199999999</v>
      </c>
      <c r="DA30" s="423">
        <v>1244.3600300000001</v>
      </c>
      <c r="DB30" s="358"/>
      <c r="DC30" s="117">
        <v>8.45037138E-7</v>
      </c>
      <c r="DD30" s="117">
        <v>-2.6839193899999997E-4</v>
      </c>
      <c r="DE30" s="117">
        <v>1.49031926E-2</v>
      </c>
      <c r="DF30" s="117">
        <v>-4.8703033199999997</v>
      </c>
      <c r="DG30" s="118">
        <v>785.56597899999997</v>
      </c>
      <c r="DH30" s="358"/>
      <c r="DI30" s="119">
        <v>-3.1246284000000001E-7</v>
      </c>
      <c r="DJ30" s="117">
        <v>2.26268063E-4</v>
      </c>
      <c r="DK30" s="117">
        <v>4.3274399900000003E-2</v>
      </c>
      <c r="DL30" s="169">
        <v>27.843633400000002</v>
      </c>
      <c r="DM30" s="113">
        <v>4.1240310700000001E-5</v>
      </c>
      <c r="DN30" s="113">
        <v>-0.409641333</v>
      </c>
      <c r="DO30" s="423">
        <v>1609.75577</v>
      </c>
      <c r="DP30" s="424"/>
      <c r="DQ30" s="117">
        <v>-1.1439459899999999E-6</v>
      </c>
      <c r="DR30" s="117">
        <v>2.7220697899999998E-4</v>
      </c>
      <c r="DS30" s="117">
        <v>-2.6900590200000001E-2</v>
      </c>
      <c r="DT30" s="117">
        <v>-4.4948121600000004</v>
      </c>
      <c r="DU30" s="118">
        <v>680.79672100000005</v>
      </c>
      <c r="DV30" s="377"/>
      <c r="DW30" s="127">
        <v>-3.9997823800000003E-7</v>
      </c>
      <c r="DX30" s="123">
        <v>2.7682436300000002E-4</v>
      </c>
      <c r="DY30" s="123">
        <v>9.1966960899999995E-3</v>
      </c>
      <c r="DZ30" s="124">
        <v>23.964647899999999</v>
      </c>
      <c r="EA30" s="113">
        <v>-1.26308006E-4</v>
      </c>
      <c r="EB30" s="113">
        <v>-0.46048671200000002</v>
      </c>
      <c r="EC30" s="423">
        <v>1491.11644</v>
      </c>
      <c r="ED30" s="432">
        <f t="shared" ref="ED30:EI30" si="101">ED29</f>
        <v>0</v>
      </c>
      <c r="EE30" s="117">
        <f t="shared" si="101"/>
        <v>1.1390954099999999E-6</v>
      </c>
      <c r="EF30" s="117">
        <f t="shared" si="101"/>
        <v>-4.38950845E-4</v>
      </c>
      <c r="EG30" s="117">
        <f t="shared" si="101"/>
        <v>3.2664698499999999E-2</v>
      </c>
      <c r="EH30" s="117">
        <f t="shared" si="101"/>
        <v>-3.9482430100000001</v>
      </c>
      <c r="EI30" s="118">
        <f t="shared" si="101"/>
        <v>1224.66743</v>
      </c>
      <c r="EJ30" s="379">
        <f t="shared" ref="EJ30:EQ30" si="102">EJ29</f>
        <v>0</v>
      </c>
      <c r="EK30" s="119">
        <f t="shared" si="102"/>
        <v>-8.3050438999999997E-8</v>
      </c>
      <c r="EL30" s="117">
        <f t="shared" si="102"/>
        <v>1.8217109700000001E-4</v>
      </c>
      <c r="EM30" s="117">
        <f t="shared" si="102"/>
        <v>9.5258349799999997E-4</v>
      </c>
      <c r="EN30" s="118">
        <f t="shared" si="102"/>
        <v>56.095483799999997</v>
      </c>
      <c r="EO30" s="396">
        <f t="shared" si="102"/>
        <v>-7.8735125400000006E-5</v>
      </c>
      <c r="EP30" s="396">
        <f t="shared" si="102"/>
        <v>6.9965291799999996E-2</v>
      </c>
      <c r="EQ30" s="431">
        <f t="shared" si="102"/>
        <v>1907.07584</v>
      </c>
      <c r="ER30" s="137">
        <v>57</v>
      </c>
      <c r="ES30" s="368"/>
      <c r="ET30" s="137">
        <v>57</v>
      </c>
      <c r="EU30" s="368"/>
      <c r="EV30" s="137">
        <f>ER30-5</f>
        <v>52</v>
      </c>
      <c r="EW30" s="368"/>
      <c r="EX30" s="369"/>
      <c r="EY30" s="370"/>
      <c r="EZ30" s="137">
        <f t="shared" si="45"/>
        <v>17.5</v>
      </c>
      <c r="FA30" s="143">
        <f>Tavg_cold</f>
        <v>17</v>
      </c>
      <c r="FB30" s="144">
        <f>IF($GC30&lt;=$FC30,$FC30,IF($FM30&lt;=$FP30,$FC30,$FZ30))</f>
        <v>17.5</v>
      </c>
      <c r="FC30" s="143">
        <f t="shared" si="47"/>
        <v>17.5</v>
      </c>
      <c r="FD30" s="144">
        <f>IF($GC30&lt;=$FC30,$FC30,IF($FM30&lt;=$FP30,$FC30,$FZ30))</f>
        <v>17.5</v>
      </c>
      <c r="FE30" s="353"/>
      <c r="FF30" s="354"/>
      <c r="FG30" s="354"/>
      <c r="FH30" s="355"/>
      <c r="FJ30" s="344">
        <f t="shared" si="48"/>
        <v>0.5</v>
      </c>
      <c r="FK30" s="241">
        <f t="shared" si="49"/>
        <v>1.175</v>
      </c>
      <c r="FL30" s="397"/>
      <c r="FM30" s="230">
        <f t="shared" si="87"/>
        <v>0.555903345122847</v>
      </c>
      <c r="FN30" s="226">
        <f>DU30</f>
        <v>680.79672100000005</v>
      </c>
      <c r="FO30" s="226">
        <f>EI30</f>
        <v>1224.66743</v>
      </c>
      <c r="FP30" s="222">
        <f>FN30/FO30</f>
        <v>0.555903345122847</v>
      </c>
      <c r="FQ30" s="238">
        <f t="shared" si="50"/>
        <v>680.79672100000005</v>
      </c>
      <c r="FR30" s="241">
        <f t="shared" si="51"/>
        <v>0</v>
      </c>
      <c r="FS30" s="242">
        <f t="shared" si="88"/>
        <v>543.87070899999992</v>
      </c>
      <c r="FT30" s="248">
        <f t="shared" si="89"/>
        <v>0</v>
      </c>
      <c r="FU30" s="224">
        <f t="shared" si="95"/>
        <v>17.5</v>
      </c>
      <c r="FV30" s="219">
        <f t="shared" si="52"/>
        <v>21.150000000000002</v>
      </c>
      <c r="FW30" s="224">
        <f t="shared" si="96"/>
        <v>3.6500000000000021</v>
      </c>
      <c r="FX30" s="399"/>
      <c r="FY30" s="399"/>
      <c r="FZ30" s="224">
        <f t="shared" si="99"/>
        <v>17.5</v>
      </c>
      <c r="GA30" s="399"/>
      <c r="GC30" s="161">
        <f t="shared" si="53"/>
        <v>15.69066559142683</v>
      </c>
      <c r="GE30" s="259">
        <f t="shared" si="54"/>
        <v>0</v>
      </c>
      <c r="GG30" s="305">
        <f t="shared" si="55"/>
        <v>2334.1781978570243</v>
      </c>
      <c r="GH30" s="305">
        <f t="shared" si="56"/>
        <v>13830.645892912335</v>
      </c>
      <c r="GI30" s="305">
        <f t="shared" si="57"/>
        <v>1167.0890989285122</v>
      </c>
      <c r="GJ30" s="305">
        <f t="shared" si="58"/>
        <v>1167.0890989285119</v>
      </c>
      <c r="GK30" s="305">
        <f t="shared" si="59"/>
        <v>7.2478490515896785E-3</v>
      </c>
      <c r="GL30" s="305">
        <f t="shared" si="15"/>
        <v>7.2478490515896785E-3</v>
      </c>
      <c r="GM30" s="305">
        <f t="shared" si="60"/>
        <v>38.490692183503647</v>
      </c>
      <c r="GN30" s="305">
        <f t="shared" si="61"/>
        <v>71.494132035236305</v>
      </c>
      <c r="GO30" s="306">
        <f t="shared" si="16"/>
        <v>8.4384280240057299E-2</v>
      </c>
      <c r="GQ30" s="305">
        <f t="shared" si="62"/>
        <v>3557.0118570174286</v>
      </c>
      <c r="GR30" s="305">
        <f t="shared" si="63"/>
        <v>2379.0505473789553</v>
      </c>
      <c r="GS30" s="305">
        <f t="shared" si="64"/>
        <v>1778.5059285087143</v>
      </c>
      <c r="GT30" s="305">
        <f t="shared" si="65"/>
        <v>1778.5059285087143</v>
      </c>
      <c r="GU30" s="305">
        <f t="shared" si="66"/>
        <v>1778.5059285087143</v>
      </c>
      <c r="GV30" s="307">
        <f t="shared" si="67"/>
        <v>1.1112703645172665E-2</v>
      </c>
      <c r="GW30" s="307">
        <f t="shared" si="68"/>
        <v>1.1112703645172665E-2</v>
      </c>
      <c r="GX30" s="305">
        <f t="shared" si="69"/>
        <v>1.1112703645172665E-2</v>
      </c>
      <c r="GY30" s="305">
        <f t="shared" si="70"/>
        <v>55.477839519976428</v>
      </c>
      <c r="GZ30" s="305">
        <f t="shared" si="71"/>
        <v>55.477839519976428</v>
      </c>
      <c r="HA30" s="305">
        <f t="shared" si="72"/>
        <v>48.613736526686701</v>
      </c>
      <c r="HB30" s="305">
        <f t="shared" si="17"/>
        <v>19.415087041495514</v>
      </c>
      <c r="HC30" s="305">
        <f t="shared" si="18"/>
        <v>19.415087041495514</v>
      </c>
      <c r="HD30" s="529">
        <f t="shared" si="73"/>
        <v>1532.7406174704122</v>
      </c>
      <c r="HE30" s="57">
        <f t="shared" si="7"/>
        <v>680.79672100000005</v>
      </c>
      <c r="HF30" s="57">
        <f t="shared" si="74"/>
        <v>1532.7406174704122</v>
      </c>
      <c r="HG30" s="525">
        <f t="shared" si="9"/>
        <v>17.5</v>
      </c>
      <c r="HH30" s="57">
        <f t="shared" si="10"/>
        <v>17.5</v>
      </c>
      <c r="HI30" s="503">
        <f t="shared" si="75"/>
        <v>1532.7406174704122</v>
      </c>
      <c r="HJ30" s="2">
        <f t="shared" si="90"/>
        <v>1</v>
      </c>
      <c r="HK30" s="503">
        <f t="shared" si="76"/>
        <v>1532.7406174704122</v>
      </c>
      <c r="HL30" s="344">
        <f t="shared" si="77"/>
        <v>0.5</v>
      </c>
      <c r="HM30" s="241">
        <f t="shared" si="78"/>
        <v>1.175</v>
      </c>
      <c r="HN30" s="397"/>
      <c r="HO30" s="230">
        <f t="shared" si="91"/>
        <v>0.555903345122847</v>
      </c>
      <c r="HP30" s="226">
        <f t="shared" si="79"/>
        <v>680.79672100000005</v>
      </c>
      <c r="HQ30" s="226">
        <f t="shared" si="80"/>
        <v>1224.66743</v>
      </c>
      <c r="HR30" s="222">
        <f>HP30/HQ30</f>
        <v>0.555903345122847</v>
      </c>
      <c r="HS30" s="251">
        <f t="shared" si="11"/>
        <v>680.79672100000005</v>
      </c>
      <c r="HT30" s="241">
        <f t="shared" si="81"/>
        <v>0</v>
      </c>
      <c r="HU30" s="242">
        <f t="shared" si="92"/>
        <v>543.87070899999992</v>
      </c>
      <c r="HV30" s="248">
        <f t="shared" si="93"/>
        <v>0</v>
      </c>
      <c r="HW30" s="224">
        <f t="shared" si="12"/>
        <v>17.5</v>
      </c>
      <c r="HX30" s="219">
        <f t="shared" si="82"/>
        <v>21.150000000000002</v>
      </c>
      <c r="HY30" s="224">
        <f t="shared" si="97"/>
        <v>3.6500000000000021</v>
      </c>
      <c r="HZ30" s="399"/>
      <c r="IA30" s="399"/>
      <c r="IB30" s="224">
        <f t="shared" si="98"/>
        <v>17.5</v>
      </c>
      <c r="IC30" s="399"/>
      <c r="IE30" s="161">
        <f t="shared" si="83"/>
        <v>15.69066559142683</v>
      </c>
      <c r="IG30" s="259" t="e">
        <f t="shared" si="84"/>
        <v>#DIV/0!</v>
      </c>
      <c r="II30" s="305">
        <f t="shared" si="85"/>
        <v>2334.1781978570243</v>
      </c>
      <c r="IJ30" s="305">
        <f t="shared" si="86"/>
        <v>13830.645892912335</v>
      </c>
    </row>
    <row r="31" spans="2:244" ht="15" customHeight="1" x14ac:dyDescent="0.25">
      <c r="B31" s="589" t="str">
        <f>IF(LangNo=1,NL!A31,IF(LangNo=2,EN!A31,IF(LangNo=3,DE!A31,IF(LangNo=4,FR!A31,IF(LangNo=5,NR!A31,IF(LangNo=6,SP!A31,IF(LangNo=7,SW!A31,IF(LangNo=8,TS!A31,IF(LangNo=9,ExtraTaal1!A31,IF(LangNo=10,ExtraTaal2!A31,IF(LangNo=11,ExtraTaal3!A31,)))))))))))</f>
        <v>Briza 22 (230V) height 54,5 cm, width 22 cm, length 95 cm (Type 04)</v>
      </c>
      <c r="C31" s="590"/>
      <c r="D31" s="590"/>
      <c r="E31" s="590"/>
      <c r="F31" s="590"/>
      <c r="G31" s="590"/>
      <c r="H31" s="590"/>
      <c r="I31" s="590"/>
      <c r="J31" s="590"/>
      <c r="K31" s="590"/>
      <c r="L31" s="590"/>
      <c r="M31" s="590"/>
      <c r="N31" s="590"/>
      <c r="O31" s="590"/>
      <c r="P31" s="590"/>
      <c r="Q31" s="590"/>
      <c r="R31" s="590"/>
      <c r="S31" s="590"/>
      <c r="T31" s="590"/>
      <c r="U31" s="590"/>
      <c r="V31" s="591"/>
      <c r="W31" s="513"/>
      <c r="X31" s="56"/>
      <c r="Y31" s="56"/>
      <c r="Z31" s="56"/>
      <c r="AA31" s="56">
        <f t="shared" si="13"/>
        <v>0</v>
      </c>
      <c r="AB31" s="56" t="str">
        <f t="shared" si="14"/>
        <v>m³/h</v>
      </c>
      <c r="AC31" s="94" t="s">
        <v>9</v>
      </c>
      <c r="AD31" s="94" t="s">
        <v>9</v>
      </c>
      <c r="AE31" s="94" t="s">
        <v>9</v>
      </c>
      <c r="AF31" s="95" t="s">
        <v>70</v>
      </c>
      <c r="AG31" s="94" t="s">
        <v>9</v>
      </c>
      <c r="AH31" s="94" t="s">
        <v>9</v>
      </c>
      <c r="AI31" s="94" t="s">
        <v>9</v>
      </c>
      <c r="AJ31" s="485" t="s">
        <v>70</v>
      </c>
      <c r="AK31" s="485" t="s">
        <v>9</v>
      </c>
      <c r="AL31" s="485" t="s">
        <v>9</v>
      </c>
      <c r="AM31" s="485" t="s">
        <v>9</v>
      </c>
      <c r="AN31" s="485" t="s">
        <v>70</v>
      </c>
      <c r="AO31" s="485" t="s">
        <v>9</v>
      </c>
      <c r="AP31" s="485" t="s">
        <v>9</v>
      </c>
      <c r="AQ31" s="485" t="s">
        <v>9</v>
      </c>
      <c r="AR31" s="487" t="s">
        <v>70</v>
      </c>
      <c r="AS31" s="485" t="s">
        <v>9</v>
      </c>
      <c r="AT31" s="485" t="s">
        <v>9</v>
      </c>
      <c r="AU31" s="485" t="s">
        <v>9</v>
      </c>
      <c r="AV31" s="485" t="s">
        <v>70</v>
      </c>
      <c r="AW31" s="485" t="s">
        <v>9</v>
      </c>
      <c r="AX31" s="485" t="s">
        <v>9</v>
      </c>
      <c r="AY31" s="485" t="s">
        <v>9</v>
      </c>
      <c r="AZ31" s="485" t="s">
        <v>70</v>
      </c>
      <c r="BA31" s="94" t="s">
        <v>9</v>
      </c>
      <c r="BB31" s="94" t="s">
        <v>9</v>
      </c>
      <c r="BC31" s="94" t="s">
        <v>9</v>
      </c>
      <c r="BD31" s="94" t="s">
        <v>70</v>
      </c>
      <c r="BE31" s="94" t="s">
        <v>9</v>
      </c>
      <c r="BF31" s="94" t="s">
        <v>9</v>
      </c>
      <c r="BG31" s="94" t="s">
        <v>9</v>
      </c>
      <c r="BH31" s="94" t="s">
        <v>70</v>
      </c>
      <c r="BJ31" s="182">
        <f>IF($BK$17="11",BO31,IF($BK$17="21",BR31,IF($BK$17="12",BO31,IF($BK$17="22",BR31,IF($BK$17="13",BO31,IF($BK$17="23",BR31,IF($BK$17="14",BO31,IF($BK$17="24",BR31,IF($BK$17="31",BU31,IF($BK$17="41",BX31,IF($BK$17="32",BU31,IF($BK$17="42",BX31,IF($BK$17="33",BU31,IF($BK$17="43",BX31,IF($BK$17="34",BU31,IF($BK$17="44",BX31,))))))))))))))))</f>
        <v>22</v>
      </c>
      <c r="BK31" s="255">
        <f>(BN31+IF(CaseNo=1,0,IF(CaseNo=2,$BN$2,)))*MilInch</f>
        <v>54.5</v>
      </c>
      <c r="BL31" s="255">
        <f>(BJ31+IF(CaseNo=1,0,IF(CaseNo=2,$BN$3,)))*MilInch</f>
        <v>22</v>
      </c>
      <c r="BM31" s="255">
        <f>(BP31+IF(CaseNo=1,0,IF(CaseNo=2,$BN$4,)))*MilInch</f>
        <v>75</v>
      </c>
      <c r="BN31" s="255">
        <v>54.5</v>
      </c>
      <c r="BO31" s="255">
        <v>22</v>
      </c>
      <c r="BP31" s="255">
        <v>75</v>
      </c>
      <c r="BQ31" s="255">
        <v>54.5</v>
      </c>
      <c r="BR31" s="255">
        <v>22</v>
      </c>
      <c r="BS31" s="255">
        <v>75</v>
      </c>
      <c r="BT31" s="255">
        <v>54.5</v>
      </c>
      <c r="BU31" s="255">
        <v>26</v>
      </c>
      <c r="BV31" s="255">
        <v>75</v>
      </c>
      <c r="BW31" s="255">
        <v>54.5</v>
      </c>
      <c r="BX31" s="255">
        <v>26</v>
      </c>
      <c r="BY31" s="255">
        <v>75</v>
      </c>
      <c r="BZ31" s="605" t="str">
        <f>CF31</f>
        <v>T04</v>
      </c>
      <c r="CA31" s="606"/>
      <c r="CB31" s="606"/>
      <c r="CC31" s="606"/>
      <c r="CD31" s="606"/>
      <c r="CE31" s="606"/>
      <c r="CF31" s="607" t="s">
        <v>50</v>
      </c>
      <c r="CG31" s="608"/>
      <c r="CH31" s="608"/>
      <c r="CI31" s="608"/>
      <c r="CJ31" s="608"/>
      <c r="CK31" s="607"/>
      <c r="CL31" s="608"/>
      <c r="CM31" s="609"/>
      <c r="CN31" s="601" t="str">
        <f>CF31</f>
        <v>T04</v>
      </c>
      <c r="CO31" s="596"/>
      <c r="CP31" s="596"/>
      <c r="CQ31" s="596"/>
      <c r="CR31" s="596"/>
      <c r="CS31" s="596"/>
      <c r="CT31" s="596"/>
      <c r="CU31" s="596"/>
      <c r="CV31" s="596"/>
      <c r="CW31" s="596"/>
      <c r="CX31" s="596"/>
      <c r="CY31" s="596"/>
      <c r="CZ31" s="596"/>
      <c r="DA31" s="597"/>
      <c r="DB31" s="601" t="str">
        <f>CF31</f>
        <v>T04</v>
      </c>
      <c r="DC31" s="596"/>
      <c r="DD31" s="596"/>
      <c r="DE31" s="596"/>
      <c r="DF31" s="596"/>
      <c r="DG31" s="596"/>
      <c r="DH31" s="596"/>
      <c r="DI31" s="596"/>
      <c r="DJ31" s="596"/>
      <c r="DK31" s="596"/>
      <c r="DL31" s="596"/>
      <c r="DM31" s="596"/>
      <c r="DN31" s="596"/>
      <c r="DO31" s="597"/>
      <c r="DP31" s="595" t="str">
        <f>CF31</f>
        <v>T04</v>
      </c>
      <c r="DQ31" s="596"/>
      <c r="DR31" s="596"/>
      <c r="DS31" s="596"/>
      <c r="DT31" s="596"/>
      <c r="DU31" s="596"/>
      <c r="DV31" s="596"/>
      <c r="DW31" s="596"/>
      <c r="DX31" s="596"/>
      <c r="DY31" s="596"/>
      <c r="DZ31" s="596"/>
      <c r="EA31" s="596"/>
      <c r="EB31" s="596"/>
      <c r="EC31" s="597"/>
      <c r="ED31" s="596" t="str">
        <f>CF31</f>
        <v>T04</v>
      </c>
      <c r="EE31" s="596"/>
      <c r="EF31" s="596"/>
      <c r="EG31" s="596"/>
      <c r="EH31" s="596"/>
      <c r="EI31" s="596"/>
      <c r="EJ31" s="596"/>
      <c r="EK31" s="596"/>
      <c r="EL31" s="596"/>
      <c r="EM31" s="596"/>
      <c r="EN31" s="596"/>
      <c r="EO31" s="596"/>
      <c r="EP31" s="596"/>
      <c r="EQ31" s="596"/>
      <c r="ER31" s="624" t="s">
        <v>50</v>
      </c>
      <c r="ES31" s="606"/>
      <c r="ET31" s="606"/>
      <c r="EU31" s="606"/>
      <c r="EV31" s="606"/>
      <c r="EW31" s="606"/>
      <c r="EX31" s="606"/>
      <c r="EY31" s="606"/>
      <c r="EZ31" s="625"/>
      <c r="FA31" s="601" t="str">
        <f>ER31</f>
        <v>T04</v>
      </c>
      <c r="FB31" s="596"/>
      <c r="FC31" s="596"/>
      <c r="FD31" s="600"/>
      <c r="FE31" s="171"/>
      <c r="FF31" s="171"/>
      <c r="FG31" s="596"/>
      <c r="FH31" s="600"/>
      <c r="FJ31" s="344"/>
      <c r="FK31" s="241"/>
      <c r="FL31" s="235"/>
      <c r="FM31" s="218"/>
      <c r="FN31" s="226"/>
      <c r="FO31" s="226"/>
      <c r="FP31" s="222"/>
      <c r="FQ31" s="238"/>
      <c r="FR31" s="239"/>
      <c r="FS31" s="242"/>
      <c r="FT31" s="248"/>
      <c r="FU31" s="224"/>
      <c r="FV31" s="219"/>
      <c r="FW31" s="224"/>
      <c r="FX31" s="224"/>
      <c r="FY31" s="224"/>
      <c r="FZ31" s="224"/>
      <c r="GA31" s="224"/>
      <c r="GC31" s="161"/>
      <c r="GE31" s="259"/>
      <c r="GG31" s="305"/>
      <c r="GH31" s="305"/>
      <c r="GI31" s="305"/>
      <c r="GJ31" s="305"/>
      <c r="GK31" s="305"/>
      <c r="GL31" s="305"/>
      <c r="GM31" s="305"/>
      <c r="GN31" s="305"/>
      <c r="GO31" s="306"/>
      <c r="GQ31" s="305"/>
      <c r="GR31" s="305"/>
      <c r="GS31" s="305"/>
      <c r="GT31" s="305"/>
      <c r="GU31" s="305"/>
      <c r="GV31" s="307"/>
      <c r="GW31" s="307"/>
      <c r="GX31" s="305"/>
      <c r="GY31" s="305"/>
      <c r="GZ31" s="305"/>
      <c r="HA31" s="305"/>
      <c r="HB31" s="305"/>
      <c r="HC31" s="305"/>
      <c r="HD31" s="529">
        <f t="shared" ref="HD31:HD55" si="103">H31</f>
        <v>0</v>
      </c>
      <c r="HE31" s="57" t="e">
        <f t="shared" si="7"/>
        <v>#VALUE!</v>
      </c>
      <c r="HF31" s="57" t="e">
        <f>IF(Geg_dP&lt;$AB31,((($BL$18*($HE31/Cubics)^4+$BL$19*($HE31/Cubics)^3+$BL$20*($HE31/Cubics)^2+$BL$21*($HE31/Cubics)^1+$BL$22)*((CF_Regime_Cool_noExp)^$Y31)))*CF_Addit*Watts*CF_Altit,Lim_dP)</f>
        <v>#VALUE!</v>
      </c>
      <c r="HG31" s="525" t="e">
        <f t="shared" si="9"/>
        <v>#VALUE!</v>
      </c>
      <c r="HH31" s="57" t="e">
        <f t="shared" si="10"/>
        <v>#VALUE!</v>
      </c>
      <c r="HI31" s="503" t="e">
        <f t="shared" si="75"/>
        <v>#VALUE!</v>
      </c>
      <c r="HJ31" s="2" t="e">
        <f t="shared" si="90"/>
        <v>#VALUE!</v>
      </c>
      <c r="HK31" s="503" t="e">
        <f t="shared" si="76"/>
        <v>#VALUE!</v>
      </c>
      <c r="HL31" s="682" t="s">
        <v>50</v>
      </c>
      <c r="HM31" s="683"/>
      <c r="HN31" s="683"/>
      <c r="HO31" s="683"/>
      <c r="HP31" s="683"/>
      <c r="HQ31" s="683"/>
      <c r="HR31" s="683"/>
      <c r="HS31" s="683"/>
      <c r="HT31" s="683"/>
      <c r="HU31" s="683"/>
      <c r="HV31" s="683"/>
      <c r="HW31" s="683"/>
      <c r="HX31" s="683"/>
      <c r="HY31" s="683"/>
      <c r="HZ31" s="683"/>
      <c r="IA31" s="683"/>
      <c r="IB31" s="683"/>
      <c r="IC31" s="683"/>
      <c r="IE31" s="161"/>
      <c r="IG31" s="259"/>
      <c r="II31" s="305"/>
      <c r="IJ31" s="305"/>
    </row>
    <row r="32" spans="2:244" ht="15" customHeight="1" x14ac:dyDescent="0.25">
      <c r="B32" s="195">
        <f>IF($AL$5=1,$C32/10,IF($AL$5=2,$C32/10,IF($AL$5=3,0,IF($AL$5=4,$C32/10,))))</f>
        <v>0.2</v>
      </c>
      <c r="C32" s="336">
        <v>2</v>
      </c>
      <c r="D32" s="329">
        <f t="shared" ref="D32:D38" si="104">IF(Geg_dP&lt;AB32,((($BK$32*($N32/Cubics)^4+$BK$33*($N32/Cubics)^3+$BK$35*($N32/Cubics)^2+$BK$37*($N32/Cubics)^1+$BK$38)*((CF_Regime_Heat_noExp)^$AA32)))*CF_Addit*Watts*CF_Altit,Lim_dP)</f>
        <v>3210.5181232071163</v>
      </c>
      <c r="E32" s="30">
        <f t="shared" ref="E32:E38" si="105">IF(Geg_dP&lt;$AB32,ROUND((($D32/Watts)/((Tv_heat-Tr_heat)*1.163))*FlowH2O,IF(UnitsNo=1,0,IF(UnitsNo=2,2))),"")</f>
        <v>276</v>
      </c>
      <c r="F32" s="330">
        <f t="shared" ref="F32:F38" si="106">IF(Geg_dP&lt;$AB32,IF((($BM$32*(E32/FlowH2O)^$BM$33))*kPa&gt;0,(($BM$32*(E32/FlowH2O)^$BM$33))*kPa,0),"")</f>
        <v>2.5586451474518461</v>
      </c>
      <c r="G32" s="329">
        <f t="shared" ref="G32:G38" si="107">IF(Geg_dP&lt;$AB32,((($BL$32*($N32/Cubics)^4+$BL$33*($N32/Cubics)^3+$BL$35*($N32/Cubics)^2+$BL$37*($N32/Cubics)^1+$BL$38)*((CF_Regime_Cool_noExp)^$Y32)))*CF_Addit*Watts*CF_Altit,Lim_dP)</f>
        <v>746.82954556610878</v>
      </c>
      <c r="H32" s="32">
        <f t="shared" ref="H32:H38" si="108">IF(Geg_dP&lt;$AB32,((G32/Watts)/(IF((237.3*LN((RH*EXP(17.27*(Tl_cool/(Tl_cool+237.3))))))/(17.27-LN((RH*EXP(17.27*(Tl_cool/(Tl_cool+237.3))))))&lt;EZ32,1,IF(1/(1+((2258*((0.622/((101325/(1*611*EXP(17.27*(EZ32/(EZ32+237.3))))))-1)*1000-(0.622/((101325/(RH*611*EXP(17.27*(Tl_cool/(Tl_cool+237.3))))))-1)*1000))/(1005*(Tavg_cold-Tl_cool))))&gt;1,1,1/(1+((2258*((0.622/((101325/(1*611*EXP(17.27*(EZ32/(EZ32+237.3))))))-1)*1000-(0.622/((101325/(RH*611*EXP(17.27*(Tl_cool/(Tl_cool+237.3))))))-1)*1000))/(1005*(Tavg_cold-Tl_cool))))))))*Watts,"")</f>
        <v>746.82954556610878</v>
      </c>
      <c r="I32" s="30">
        <f>IF(Geg_dP&lt;AB32,ROUND(((IF('Briza 22 &amp; 26'!$M$4="High Perform. 208/230V (US/EU)",cal!HK32,H32)/Watts)/((Tr_cool-Tv_cool)*1.163))*FlowH2O,IF(UnitsNo=1,0,IF(UnitsNo=2,2))),"")</f>
        <v>321</v>
      </c>
      <c r="J32" s="330">
        <f t="shared" ref="J32:J38" si="109">IF(Geg_dP&lt;$AB32,IF((($BM$37*(I32/FlowH2O)^$BM$38))*kPa&gt;0,(($BM$37*(I32/FlowH2O)^$BM$38))*kPa,0),"")</f>
        <v>3.3735100324461316</v>
      </c>
      <c r="K32" s="333">
        <f t="shared" ref="K32:K38" si="110">IF(Geg_dP&lt;AB32,IF($L32-8&lt;0,0,$L32-8),"")</f>
        <v>22</v>
      </c>
      <c r="L32" s="297">
        <f>IF(Geg_dP&lt;$AB32,IF(CalcNo="12",$ET32,IF(CalcNo="22",$ET32,IF(CalcNo="13",$EU32,IF(CalcNo="23",$EU32,IF(CalcNo="11",$ER32,IF(CalcNo="21",$ER32,IF(CalcNo="14",$ES32,IF(CalcNo="24",$ES32,IF(CalcNo="32",$EX32,IF(CalcNo="42",$EX32,IF(CalcNo="33",$EY32,IF(CalcNo="43",$EY32,IF(CalcNo="31",$EV32,IF(CalcNo="41",$EV32,IF(CalcNo="34",$EW32,IF(CalcNo="44",$EW32,)))))))))))))))),"")</f>
        <v>30</v>
      </c>
      <c r="M32" s="198">
        <f t="shared" ref="M32:M37" si="111">IF(Geg_dP&lt;$AB32,($CF32*(($N32/Cubics)^4))+($CG32*(($N32/Cubics)^3))+($CH32*(($N32/Cubics)^2))+($CI32*($N32/Cubics))+$CJ32,"")</f>
        <v>3.9322340977366461</v>
      </c>
      <c r="N32" s="197">
        <f t="shared" ref="N32:N38" si="112">IF(Geg_dP&lt;$AB32,(BZ32*Geg_dP^5+CA32*Geg_dP^4+CB32*Geg_dP^3+CC32*Geg_dP^2+CD32*Geg_dP+CE32)*CF_Case*Cubics,"")</f>
        <v>247.22018299999999</v>
      </c>
      <c r="O32" s="480">
        <f t="shared" ref="O32:O38" si="113">IF(Geg_dP&lt;$AB32,(($N32/Cubics)/3600)/(($BJ$39/100)*($BP$39/100))*FeetMins,"")</f>
        <v>0.32857546916533759</v>
      </c>
      <c r="P32" s="198">
        <f t="shared" ref="P32:P38" si="114">IF(Geg_dP&lt;$AB32,((($D32/Watts)/(((p_atm*0.028964)/(8.31447*(20+273.15)))*(($N32/3600)/Cubics)*(1005+1870*((0.622)/(((p_atm)/($E$14*pvs_heat_in))-1)))))+Tl_heat)*Celc1+Celc2,"")</f>
        <v>58.11948199690513</v>
      </c>
      <c r="Q32" s="297">
        <f t="shared" ref="Q32:Q38" si="115">IF(Geg_dP&lt;$AB32,(27.8*LN(($GN32+36)/45.5))*Celc1+Celc2,"")</f>
        <v>25.366960932333647</v>
      </c>
      <c r="R32" s="509">
        <f t="shared" ref="R32:R38" si="116">IF(Geg_dP&lt;$AB32,(Tl_cool-(($G32/Watts)/(1006*$N32*kgss)))*Celc1+Celc2,"")</f>
        <v>18.0212557681714</v>
      </c>
      <c r="S32" s="36">
        <f t="shared" ref="S32:S38" si="117">IF(Geg_dP&lt;$AB32,IF((27.8*LN(($HA32+36)/45.5))*Celc1+Celc2&gt;R32,R32,(27.8*LN(($HA32+36)/45.5))*Celc1+Celc2),"")</f>
        <v>16.464973194636521</v>
      </c>
      <c r="T32" s="300">
        <f t="shared" ref="T32:T38" si="118">IF(Geg_dP&lt;$AB32,IF($H32&gt;$G32,1,IF(($GT32/$GR32)&lt;0,0,$GT32/$GR32)),"")</f>
        <v>0.86189310138810438</v>
      </c>
      <c r="U32" s="416">
        <f t="shared" ref="U32:U38" si="119">IF(Geg_dP&lt;$AB32,$CK32*($N32/Cubics)^2+$CL32*($N32/Cubics)^1+$CM32,"")</f>
        <v>417.34020594779582</v>
      </c>
      <c r="V32" s="483">
        <f t="shared" ref="V32:V38" si="120">M32/((N32/Cubics)/3.6)</f>
        <v>5.7260869966478133E-2</v>
      </c>
      <c r="W32" s="513">
        <f t="shared" ref="W32:W38" si="121">(G32/Watts)/(N32/Cubics)</f>
        <v>3.0209084731812079</v>
      </c>
      <c r="X32" s="56">
        <f t="shared" si="1"/>
        <v>1.0306200000000001</v>
      </c>
      <c r="Y32" s="56">
        <f t="shared" si="2"/>
        <v>1.073</v>
      </c>
      <c r="Z32" s="56">
        <f t="shared" si="2"/>
        <v>1.14154</v>
      </c>
      <c r="AA32" s="56">
        <f t="shared" si="13"/>
        <v>1.0306200000000001</v>
      </c>
      <c r="AB32" s="56">
        <f t="shared" si="14"/>
        <v>11.6</v>
      </c>
      <c r="AC32" s="95">
        <v>1.0306200000000001</v>
      </c>
      <c r="AD32" s="95">
        <v>1.073</v>
      </c>
      <c r="AE32" s="95">
        <v>1.14154</v>
      </c>
      <c r="AF32" s="96">
        <v>5.5</v>
      </c>
      <c r="AG32" s="95">
        <v>1.0306200000000001</v>
      </c>
      <c r="AH32" s="95">
        <v>1.073</v>
      </c>
      <c r="AI32" s="95">
        <v>1.14154</v>
      </c>
      <c r="AJ32" s="486">
        <v>7</v>
      </c>
      <c r="AK32" s="487">
        <v>1.0306200000000001</v>
      </c>
      <c r="AL32" s="487">
        <v>1.073</v>
      </c>
      <c r="AM32" s="487">
        <v>1.14154</v>
      </c>
      <c r="AN32" s="486">
        <v>11.6</v>
      </c>
      <c r="AO32" s="487">
        <v>1.0127469901095905</v>
      </c>
      <c r="AP32" s="487">
        <v>1.4118789851268314</v>
      </c>
      <c r="AQ32" s="487">
        <v>1.1240022585776352</v>
      </c>
      <c r="AR32" s="486">
        <v>21.22</v>
      </c>
      <c r="AS32" s="488"/>
      <c r="AT32" s="488"/>
      <c r="AU32" s="488"/>
      <c r="AV32" s="488">
        <v>1000</v>
      </c>
      <c r="AW32" s="488"/>
      <c r="AX32" s="488"/>
      <c r="AY32" s="488"/>
      <c r="AZ32" s="488">
        <v>1000</v>
      </c>
      <c r="BA32" s="97"/>
      <c r="BB32" s="97"/>
      <c r="BC32" s="97"/>
      <c r="BD32" s="97">
        <v>1000</v>
      </c>
      <c r="BE32" s="97"/>
      <c r="BF32" s="97"/>
      <c r="BG32" s="97"/>
      <c r="BH32" s="97">
        <v>1000</v>
      </c>
      <c r="BJ32" s="182"/>
      <c r="BK32" s="80">
        <f t="shared" ref="BK32:BM33" si="122">IF($BK$17="11",BN32,IF($BK$17="21",BQ32,IF($BK$17="12",BN32,IF($BK$17="22",BQ32,IF($BK$17="13",BN32,IF($BK$17="23",BQ32,IF($BK$17="14",BN32,IF($BK$17="24",BQ32,IF($BK$17="31",BT32,IF($BK$17="41",BW32,IF($BK$17="32",BT32,IF($BK$17="42",BW32,IF($BK$17="33",BT32,IF($BK$17="43",BW32,IF($BK$17="34",BT32,IF($BK$17="44",BW32,))))))))))))))))</f>
        <v>0</v>
      </c>
      <c r="BL32" s="81">
        <f t="shared" si="122"/>
        <v>0</v>
      </c>
      <c r="BM32" s="87">
        <f t="shared" si="122"/>
        <v>8.7092260316846474E-5</v>
      </c>
      <c r="BN32" s="97"/>
      <c r="BO32" s="97"/>
      <c r="BP32" s="105">
        <f>BP37</f>
        <v>8.7092260316846474E-5</v>
      </c>
      <c r="BQ32" s="97"/>
      <c r="BR32" s="97">
        <f>BO32</f>
        <v>0</v>
      </c>
      <c r="BS32" s="105">
        <v>1.0766558270359899E-4</v>
      </c>
      <c r="BT32" s="97">
        <v>0</v>
      </c>
      <c r="BU32" s="97">
        <v>0</v>
      </c>
      <c r="BV32" s="97">
        <v>0</v>
      </c>
      <c r="BW32" s="97">
        <v>0</v>
      </c>
      <c r="BX32" s="97">
        <v>0</v>
      </c>
      <c r="BY32" s="97">
        <v>0</v>
      </c>
      <c r="BZ32" s="128">
        <f t="shared" ref="BZ32:CA38" si="123">IF($BK$17="11",CN32,IF($BK$17="21",CN32,IF($BK$17="12",DP32,IF($BK$17="22",DP32,IF($BK$17="13",ED32,IF($BK$17="23",ED32,IF($BK$17="14",DB32,IF($BK$17="24",DB32,IF($BK$17="31",0,IF($BK$17="41",0,IF($BK$17="32",0,IF($BK$17="42",0,IF($BK$17="33",0,IF($BK$17="43",0,IF($BK$17="34",DB32,IF($BK$17="44",DB32,))))))))))))))))</f>
        <v>0</v>
      </c>
      <c r="CA32" s="129">
        <f t="shared" si="123"/>
        <v>4.1089959800000003E-3</v>
      </c>
      <c r="CB32" s="129">
        <f t="shared" ref="CB32:CM32" si="124">IF($BK$17="11",CP32,IF($BK$17="21",CP32,IF($BK$17="12",DR32,IF($BK$17="22",DR32,IF($BK$17="13",EF32,IF($BK$17="23",EF32,IF($BK$17="14",DD32,IF($BK$17="24",DD32,IF($BK$17="31",0,IF($BK$17="41",0,IF($BK$17="32",0,IF($BK$17="42",0,IF($BK$17="33",0,IF($BK$17="43",0,IF($BK$17="34",DD32,IF($BK$17="44",DD32,))))))))))))))))</f>
        <v>-0.122825751</v>
      </c>
      <c r="CC32" s="129">
        <f t="shared" si="124"/>
        <v>1.07027706</v>
      </c>
      <c r="CD32" s="129">
        <f t="shared" si="124"/>
        <v>-19.245104900000001</v>
      </c>
      <c r="CE32" s="129">
        <f t="shared" si="124"/>
        <v>247.22018299999999</v>
      </c>
      <c r="CF32" s="128">
        <f t="shared" si="124"/>
        <v>0</v>
      </c>
      <c r="CG32" s="129">
        <f t="shared" si="124"/>
        <v>-5.4137952099999998E-8</v>
      </c>
      <c r="CH32" s="129">
        <f t="shared" si="124"/>
        <v>2.4856607200000001E-5</v>
      </c>
      <c r="CI32" s="129">
        <f t="shared" si="124"/>
        <v>1.2774274099999999E-3</v>
      </c>
      <c r="CJ32" s="129">
        <f t="shared" si="124"/>
        <v>2.9152471900000001</v>
      </c>
      <c r="CK32" s="128">
        <f t="shared" si="124"/>
        <v>-4.3655455399999999E-5</v>
      </c>
      <c r="CL32" s="129">
        <f t="shared" si="124"/>
        <v>-0.37155383400000003</v>
      </c>
      <c r="CM32" s="130">
        <f t="shared" si="124"/>
        <v>511.86393900000002</v>
      </c>
      <c r="CN32" s="356"/>
      <c r="CO32" s="110">
        <v>-2.8611898600000001E-2</v>
      </c>
      <c r="CP32" s="110">
        <v>0.386743275</v>
      </c>
      <c r="CQ32" s="110">
        <v>-1.6146676900000001</v>
      </c>
      <c r="CR32" s="110">
        <v>-16.895026399999999</v>
      </c>
      <c r="CS32" s="111">
        <v>108.259045</v>
      </c>
      <c r="CT32" s="356"/>
      <c r="CU32" s="112">
        <v>-1.5340177300000001E-7</v>
      </c>
      <c r="CV32" s="110">
        <v>3.8512017099999998E-5</v>
      </c>
      <c r="CW32" s="110">
        <v>4.0316211599999998E-5</v>
      </c>
      <c r="CX32" s="111">
        <v>2.1515681799999999</v>
      </c>
      <c r="CY32" s="110">
        <f xml:space="preserve"> -0.000556186953</f>
        <v>-5.5618695299999995E-4</v>
      </c>
      <c r="CZ32" s="110">
        <v>-5.93641273E-2</v>
      </c>
      <c r="DA32" s="421">
        <v>342.88730399999997</v>
      </c>
      <c r="DB32" s="356"/>
      <c r="DC32" s="110">
        <v>3.0751034900000002E-2</v>
      </c>
      <c r="DD32" s="110">
        <v>-0.30029189299999998</v>
      </c>
      <c r="DE32" s="110">
        <v>-0.40417361099999999</v>
      </c>
      <c r="DF32" s="110">
        <v>-17.727236399999999</v>
      </c>
      <c r="DG32" s="111">
        <v>185.11197000000001</v>
      </c>
      <c r="DH32" s="356"/>
      <c r="DI32" s="112">
        <v>-1.3213334200000001E-7</v>
      </c>
      <c r="DJ32" s="110">
        <v>4.4085643499999999E-5</v>
      </c>
      <c r="DK32" s="110">
        <v>-3.7059125499999999E-4</v>
      </c>
      <c r="DL32" s="111">
        <v>2.58292755</v>
      </c>
      <c r="DM32" s="110">
        <v>-1.8269873899999999E-4</v>
      </c>
      <c r="DN32" s="110">
        <v>-0.105857467</v>
      </c>
      <c r="DO32" s="421">
        <v>386.57950199999999</v>
      </c>
      <c r="DP32" s="420"/>
      <c r="DQ32" s="110">
        <v>4.1089959800000003E-3</v>
      </c>
      <c r="DR32" s="110">
        <v>-0.122825751</v>
      </c>
      <c r="DS32" s="110">
        <v>1.07027706</v>
      </c>
      <c r="DT32" s="110">
        <v>-19.245104900000001</v>
      </c>
      <c r="DU32" s="111">
        <v>247.22018299999999</v>
      </c>
      <c r="DV32" s="376"/>
      <c r="DW32" s="125">
        <v>-5.4137952099999998E-8</v>
      </c>
      <c r="DX32" s="121">
        <v>2.4856607200000001E-5</v>
      </c>
      <c r="DY32" s="121">
        <v>1.2774274099999999E-3</v>
      </c>
      <c r="DZ32" s="122">
        <v>2.9152471900000001</v>
      </c>
      <c r="EA32" s="110">
        <f xml:space="preserve"> -0.0000436554554</f>
        <v>-4.3655455399999999E-5</v>
      </c>
      <c r="EB32" s="110">
        <v>-0.37155383400000003</v>
      </c>
      <c r="EC32" s="421">
        <v>511.86393900000002</v>
      </c>
      <c r="ED32" s="420"/>
      <c r="EE32" s="110">
        <v>4.7194883899999998E-4</v>
      </c>
      <c r="EF32" s="110">
        <v>-1.4600905399999999E-2</v>
      </c>
      <c r="EG32" s="110">
        <v>-9.3644499699999995E-2</v>
      </c>
      <c r="EH32" s="110">
        <v>-13.114501300000001</v>
      </c>
      <c r="EI32" s="111">
        <v>416.394092</v>
      </c>
      <c r="EJ32" s="376"/>
      <c r="EK32" s="112">
        <v>-7.2626210099999994E-8</v>
      </c>
      <c r="EL32" s="110">
        <v>5.4114646399999997E-5</v>
      </c>
      <c r="EM32" s="110">
        <v>1.3544751499999999E-4</v>
      </c>
      <c r="EN32" s="111">
        <v>8.4290890300000001</v>
      </c>
      <c r="EO32" s="394">
        <v>6.0698876299999998E-5</v>
      </c>
      <c r="EP32" s="394">
        <v>-0.14676620100000001</v>
      </c>
      <c r="EQ32" s="430">
        <v>666.11172899999997</v>
      </c>
      <c r="ER32" s="137">
        <v>30</v>
      </c>
      <c r="ES32" s="362"/>
      <c r="ET32" s="137">
        <v>30</v>
      </c>
      <c r="EU32" s="362"/>
      <c r="EV32" s="137">
        <f>ER32-5</f>
        <v>25</v>
      </c>
      <c r="EW32" s="362"/>
      <c r="EX32" s="363"/>
      <c r="EY32" s="364"/>
      <c r="EZ32" s="137">
        <f t="shared" ref="EZ32:EZ38" si="125">IF($BK$17="11",FA32,IF($BK$17="21",FA32,IF($BK$17="12",FC32,IF($BK$17="22",FC32,IF($BK$17="13",FD32,IF($BK$17="23",FD32,IF($BK$17="14",FB32,IF($BK$17="24",FB32,IF($BK$17="31",FE32,IF($BK$17="41",FE32,IF($BK$17="32",FG32,IF($BK$17="42",FG32,IF($BK$17="33",FH32,IF($BK$17="43",FH32,IF($BK$17="34",FF32,IF($BK$17="44",FF32,))))))))))))))))</f>
        <v>17.5</v>
      </c>
      <c r="FA32" s="143">
        <f>Tavg_cold</f>
        <v>17</v>
      </c>
      <c r="FB32" s="143">
        <f t="shared" ref="FB32:FB38" si="126">IF($GC32&lt;=$FC32,$FC32,IF($FM32&lt;=$FP32,$FC32,$FZ32))</f>
        <v>17.5</v>
      </c>
      <c r="FC32" s="143">
        <f t="shared" ref="FC32:FC38" si="127">IF($N32&gt;$FN32,Tavg_cold+(0.5*(Tr_cool-Tavg_cold)),Tavg_cold+($FJ32*(Tr_cool-Tavg_cold)))</f>
        <v>17.5</v>
      </c>
      <c r="FD32" s="143">
        <f>IF($GC32&lt;=$FC32,$FC32,IF($FM32&lt;=$FP32,$FC32,$FZ32))</f>
        <v>17.5</v>
      </c>
      <c r="FE32" s="347"/>
      <c r="FF32" s="348"/>
      <c r="FG32" s="348"/>
      <c r="FH32" s="349"/>
      <c r="FJ32" s="344">
        <f t="shared" ref="FJ32:FJ38" si="128">0.5*(1-((FN32-N32)/FN32))</f>
        <v>0.5</v>
      </c>
      <c r="FK32" s="241">
        <f t="shared" ref="FK32:FK38" si="129">(0.025*Tl_cool)+0.5</f>
        <v>1.175</v>
      </c>
      <c r="FL32" s="400"/>
      <c r="FM32" s="230">
        <f>FQ32/FO32</f>
        <v>0.59371683640506601</v>
      </c>
      <c r="FN32" s="226">
        <f>DU32</f>
        <v>247.22018299999999</v>
      </c>
      <c r="FO32" s="226">
        <f>EI32</f>
        <v>416.394092</v>
      </c>
      <c r="FP32" s="222">
        <f>FN32/FO32</f>
        <v>0.59371683640506601</v>
      </c>
      <c r="FQ32" s="238">
        <f t="shared" ref="FQ32:FQ38" si="130">N32/Cubics</f>
        <v>247.22018299999999</v>
      </c>
      <c r="FR32" s="241">
        <f t="shared" ref="FR32:FR38" si="131">IF(FQ32-(FP32*FO32)&lt;=0,0,FQ32-(FP32*FO32))</f>
        <v>0</v>
      </c>
      <c r="FS32" s="242">
        <f>FO32*(1-FP32)</f>
        <v>169.17390900000001</v>
      </c>
      <c r="FT32" s="248">
        <f>IF((FR32/FS32)&gt;1,1,FR32/FS32)</f>
        <v>0</v>
      </c>
      <c r="FU32" s="224">
        <f t="shared" si="95"/>
        <v>17.5</v>
      </c>
      <c r="FV32" s="219">
        <f t="shared" ref="FV32:FV38" si="132">Tr_cool*FK32</f>
        <v>21.150000000000002</v>
      </c>
      <c r="FW32" s="224">
        <f t="shared" si="96"/>
        <v>3.6500000000000021</v>
      </c>
      <c r="FX32" s="402"/>
      <c r="FY32" s="402"/>
      <c r="FZ32" s="224">
        <f t="shared" si="99"/>
        <v>17.5</v>
      </c>
      <c r="GA32" s="402"/>
      <c r="GC32" s="161">
        <f t="shared" ref="GC32:GC38" si="133">(237.3*LN((RH*EXP(17.27*(Tl_cool/(Tl_cool+237.3))))))/(17.27-LN((RH*EXP(17.27*(Tl_cool/(Tl_cool+237.3))))))</f>
        <v>15.69066559142683</v>
      </c>
      <c r="GE32" s="259">
        <f t="shared" ref="GE32:GE38" si="134">(H32-G32)/H32</f>
        <v>0</v>
      </c>
      <c r="GG32" s="305">
        <f t="shared" ref="GG32:GG38" si="135">(611*EXP(17.27*(Tl_heat/(Tl_heat+237.7))))</f>
        <v>2334.1781978570243</v>
      </c>
      <c r="GH32" s="305">
        <f t="shared" ref="GH32:GH38" si="136">(611*EXP(17.27*((($P32-Celc2)/Celc1)/((($P32-Celc2)/Celc1)+237.7))))</f>
        <v>18180.844873078393</v>
      </c>
      <c r="GI32" s="305">
        <f t="shared" ref="GI32:GI38" si="137">RH*$GG32</f>
        <v>1167.0890989285122</v>
      </c>
      <c r="GJ32" s="305">
        <f t="shared" ref="GJ32:GJ38" si="138">(GL32*p_atm)/(GL32+0.622)</f>
        <v>1167.0890989285119</v>
      </c>
      <c r="GK32" s="305">
        <f t="shared" ref="GK32:GK38" si="139">0.622*($GI32/(p_atm-$GI32))</f>
        <v>7.2478490515896785E-3</v>
      </c>
      <c r="GL32" s="305">
        <f t="shared" si="15"/>
        <v>7.2478490515896785E-3</v>
      </c>
      <c r="GM32" s="305">
        <f t="shared" ref="GM32:GM38" si="140">(1.005*Tl_heat)+($GK32*(2500+(1.87*Tl_heat)))</f>
        <v>38.490692183503647</v>
      </c>
      <c r="GN32" s="305">
        <f t="shared" ref="GN32:GN38" si="141">(1.005*(($P32-Celc2)/Celc1))+($GL32*(2500+(1.87*(($P32-Celc2)/Celc1))))</f>
        <v>77.317423140583031</v>
      </c>
      <c r="GO32" s="306">
        <f t="shared" si="16"/>
        <v>6.4193336837536072E-2</v>
      </c>
      <c r="GQ32" s="305">
        <f t="shared" ref="GQ32:GQ38" si="142">(611*EXP(17.27*(Tl_cool/(Tl_cool+237.7))))</f>
        <v>3557.0118570174286</v>
      </c>
      <c r="GR32" s="305">
        <f t="shared" ref="GR32:GR38" si="143">(611*EXP(17.27*((($R32-Celc2)/Celc1)/((($R32-Celc2)/Celc1)+237.7))))</f>
        <v>2063.4878335194676</v>
      </c>
      <c r="GS32" s="305">
        <f t="shared" ref="GS32:GS38" si="144">RH*$GQ32</f>
        <v>1778.5059285087143</v>
      </c>
      <c r="GT32" s="305">
        <f t="shared" ref="GT32:GT38" si="145">(GW32*p_atm)/(GW32+0.622)</f>
        <v>1778.5059285087143</v>
      </c>
      <c r="GU32" s="305">
        <f t="shared" ref="GU32:GU38" si="146">T32*GR32</f>
        <v>1778.5059285087143</v>
      </c>
      <c r="GV32" s="307">
        <f t="shared" ref="GV32:GV38" si="147">0.622*($GS32/(p_atm-$GS32))</f>
        <v>1.1112703645172665E-2</v>
      </c>
      <c r="GW32" s="307">
        <f t="shared" ref="GW32:GW38" si="148">IF(H32=G32,GV32,(0.53475935828878*($GZ32-(1.005*(($R32-Celc2)/Celc1))))/(1336.8983957219))</f>
        <v>1.1112703645172665E-2</v>
      </c>
      <c r="GX32" s="305">
        <f t="shared" ref="GX32:GX38" si="149">0.622*($GU32/(p_atm-$GU32))</f>
        <v>1.1112703645172665E-2</v>
      </c>
      <c r="GY32" s="305">
        <f t="shared" ref="GY32:GY38" si="150">(1.005*Tl_cool)+($GV32*(2500+(1.87*Tl_cool)))</f>
        <v>55.477839519976428</v>
      </c>
      <c r="GZ32" s="305">
        <f t="shared" ref="GZ32:GZ38" si="151">GY32-((((H32-G32)/Watts)/1000)/(N32/$L$15))</f>
        <v>55.477839519976428</v>
      </c>
      <c r="HA32" s="305">
        <f t="shared" ref="HA32:HA38" si="152">(1.005*(($R32-Celc2)/Celc1))+($GX32*(2500+(1.87*(($R32-Celc2)/Celc1))))</f>
        <v>46.267616475568488</v>
      </c>
      <c r="HB32" s="305">
        <f t="shared" si="17"/>
        <v>19.415087041495514</v>
      </c>
      <c r="HC32" s="305">
        <f t="shared" si="18"/>
        <v>19.415087041495514</v>
      </c>
      <c r="HD32" s="529">
        <f t="shared" ref="HD32:HD38" si="153">H32</f>
        <v>746.82954556610878</v>
      </c>
      <c r="HE32" s="57">
        <f t="shared" si="7"/>
        <v>247.22018299999999</v>
      </c>
      <c r="HF32" s="57">
        <f t="shared" ref="HF32:HF38" si="154">IF(Geg_dP&lt;$AB32,((($BL$32*($HE32/Cubics)^4+$BL$33*($HE32/Cubics)^3+$BL$35*($HE32/Cubics)^2+$BL$37*($HE32/Cubics)^1+$BL$38)*((CF_Regime_Cool_noExp)^$Y32)))*CF_Addit*Watts*CF_Altit,Lim_dP)</f>
        <v>746.82954556610878</v>
      </c>
      <c r="HG32" s="525">
        <f t="shared" si="9"/>
        <v>17.5</v>
      </c>
      <c r="HH32" s="57">
        <f t="shared" si="10"/>
        <v>17.5</v>
      </c>
      <c r="HI32" s="503">
        <f t="shared" si="75"/>
        <v>746.82954556610878</v>
      </c>
      <c r="HJ32" s="2">
        <f t="shared" si="90"/>
        <v>1</v>
      </c>
      <c r="HK32" s="503">
        <f t="shared" si="76"/>
        <v>746.82954556610878</v>
      </c>
      <c r="HL32" s="344">
        <f t="shared" ref="HL32:HL38" si="155">0.5*(1-((HP32-HE32)/HP32))</f>
        <v>0.5</v>
      </c>
      <c r="HM32" s="241">
        <f t="shared" ref="HM32:HM38" si="156">(0.025*Tl_cool)+0.5</f>
        <v>1.175</v>
      </c>
      <c r="HN32" s="400"/>
      <c r="HO32" s="230">
        <f>HS32/HQ32</f>
        <v>0.59371683640506601</v>
      </c>
      <c r="HP32" s="226">
        <f t="shared" ref="HP32:HP38" si="157">DU32</f>
        <v>247.22018299999999</v>
      </c>
      <c r="HQ32" s="226">
        <f t="shared" si="80"/>
        <v>416.394092</v>
      </c>
      <c r="HR32" s="222">
        <f>HP32/HQ32</f>
        <v>0.59371683640506601</v>
      </c>
      <c r="HS32" s="251">
        <f t="shared" si="11"/>
        <v>247.22018299999999</v>
      </c>
      <c r="HT32" s="241">
        <f t="shared" ref="HT32:HT38" si="158">IF(HS32-(HR32*HQ32)&lt;=0,0,HS32-(HR32*HQ32))</f>
        <v>0</v>
      </c>
      <c r="HU32" s="242">
        <f>HQ32*(1-HR32)</f>
        <v>169.17390900000001</v>
      </c>
      <c r="HV32" s="248">
        <f>IF((HT32/HU32)&gt;1,1,HT32/HU32)</f>
        <v>0</v>
      </c>
      <c r="HW32" s="224">
        <f t="shared" si="12"/>
        <v>17.5</v>
      </c>
      <c r="HX32" s="219">
        <f t="shared" ref="HX32:HX38" si="159">Tr_cool*HM32</f>
        <v>21.150000000000002</v>
      </c>
      <c r="HY32" s="224">
        <f t="shared" ref="HY32:HY37" si="160">ABS(HX32-HW32)</f>
        <v>3.6500000000000021</v>
      </c>
      <c r="HZ32" s="402"/>
      <c r="IA32" s="402"/>
      <c r="IB32" s="224">
        <f t="shared" ref="IB32:IB37" si="161">IF(HO32&lt;=HR32,HW32,HW32+(HV32*HY32))</f>
        <v>17.5</v>
      </c>
      <c r="IC32" s="402"/>
      <c r="IE32" s="161">
        <f t="shared" ref="IE32:IE38" si="162">(237.3*LN((RH*EXP(17.27*(Tl_cool/(Tl_cool+237.3))))))/(17.27-LN((RH*EXP(17.27*(Tl_cool/(Tl_cool+237.3))))))</f>
        <v>15.69066559142683</v>
      </c>
      <c r="IG32" s="259" t="e">
        <f t="shared" ref="IG32:IG38" si="163">(BG32-BF32)/BG32</f>
        <v>#DIV/0!</v>
      </c>
      <c r="II32" s="305">
        <f t="shared" ref="II32:II38" si="164">(611*EXP(17.27*(Tl_heat/(Tl_heat+237.7))))</f>
        <v>2334.1781978570243</v>
      </c>
      <c r="IJ32" s="305">
        <f t="shared" ref="IJ32:IJ38" si="165">(611*EXP(17.27*((($P32-Celc2)/Celc1)/((($P32-Celc2)/Celc1)+237.7))))</f>
        <v>18180.844873078393</v>
      </c>
    </row>
    <row r="33" spans="2:244" ht="15" customHeight="1" x14ac:dyDescent="0.25">
      <c r="B33" s="195">
        <f>IF($AL$5=1,$C33/10,IF($AL$5=2,$C33/10,IF($AL$5=3,0,IF($AL$5=4,$C33/10,))))</f>
        <v>0.4</v>
      </c>
      <c r="C33" s="336">
        <v>4</v>
      </c>
      <c r="D33" s="329">
        <f t="shared" si="104"/>
        <v>5519.5752273924818</v>
      </c>
      <c r="E33" s="30">
        <f t="shared" si="105"/>
        <v>475</v>
      </c>
      <c r="F33" s="330">
        <f t="shared" si="106"/>
        <v>6.9120753049022925</v>
      </c>
      <c r="G33" s="329">
        <f t="shared" si="107"/>
        <v>1265.5751323529887</v>
      </c>
      <c r="H33" s="32">
        <f t="shared" si="108"/>
        <v>1265.5751323529887</v>
      </c>
      <c r="I33" s="30">
        <f>IF(Geg_dP&lt;AB33,ROUND(((IF('Briza 22 &amp; 26'!$M$4="High Perform. 208/230V (US/EU)",cal!HK33,H33)/Watts)/((Tr_cool-Tv_cool)*1.163))*FlowH2O,IF(UnitsNo=1,0,IF(UnitsNo=2,2))),"")</f>
        <v>544</v>
      </c>
      <c r="J33" s="330">
        <f t="shared" si="109"/>
        <v>8.8599914238837556</v>
      </c>
      <c r="K33" s="333">
        <f t="shared" si="110"/>
        <v>29.5</v>
      </c>
      <c r="L33" s="297">
        <f>IF(Geg_dP&lt;$AB33,IF(CalcNo="12",$ET33,IF(CalcNo="22",$ET33,IF(CalcNo="13",$EU33,IF(CalcNo="23",$EU33,IF(CalcNo="11",$ER33,IF(CalcNo="21",$ER33,IF(CalcNo="14",$ES33,IF(CalcNo="24",$ES33,IF(CalcNo="32",$EX33,IF(CalcNo="42",$EX33,IF(CalcNo="33",$EY33,IF(CalcNo="43",$EY33,IF(CalcNo="31",$EV33,IF(CalcNo="41",$EV33,IF(CalcNo="34",$EW33,IF(CalcNo="44",$EW33,)))))))))))))))),"")</f>
        <v>37.5</v>
      </c>
      <c r="M33" s="198">
        <f t="shared" si="111"/>
        <v>9.8580970360757014</v>
      </c>
      <c r="N33" s="197">
        <f t="shared" si="112"/>
        <v>412.80249099999997</v>
      </c>
      <c r="O33" s="480">
        <f t="shared" si="113"/>
        <v>0.54864764885699091</v>
      </c>
      <c r="P33" s="198">
        <f t="shared" si="114"/>
        <v>59.248145026513207</v>
      </c>
      <c r="Q33" s="297">
        <f t="shared" si="115"/>
        <v>25.647570543199233</v>
      </c>
      <c r="R33" s="509">
        <f t="shared" si="116"/>
        <v>17.88779133166592</v>
      </c>
      <c r="S33" s="36">
        <f t="shared" si="117"/>
        <v>16.418671423828709</v>
      </c>
      <c r="T33" s="300">
        <f t="shared" si="118"/>
        <v>0.86914839652128428</v>
      </c>
      <c r="U33" s="416">
        <f t="shared" si="119"/>
        <v>624.16584201423916</v>
      </c>
      <c r="V33" s="483">
        <f t="shared" si="120"/>
        <v>8.5971257692513611E-2</v>
      </c>
      <c r="W33" s="513">
        <f t="shared" si="121"/>
        <v>3.0658127311372954</v>
      </c>
      <c r="X33" s="56">
        <f t="shared" si="1"/>
        <v>1.0306200000000001</v>
      </c>
      <c r="Y33" s="56">
        <f t="shared" ref="Y33:Y62" si="166">IF($BK$17="11",AD33,IF($BK$17="21",AD33,IF($BK$17="12",AL33,IF($BK$17="22",AL33,IF($BK$17="13",AP33,IF($BK$17="23",AP33,IF($BK$17="14",AH33,IF($BK$17="24",AH33,IF($BK$17="31",AT33,IF($BK$17="41",AT33,IF($BK$17="32",BB33,IF($BK$17="42",BB33,IF($BK$17="33",BF33,IF($BK$17="43",BF33,IF($BK$17="34",AX33,IF($BK$17="44",AX33,))))))))))))))))</f>
        <v>1.073</v>
      </c>
      <c r="Z33" s="56">
        <f t="shared" ref="Z33:Z62" si="167">IF($BK$17="11",AE33,IF($BK$17="21",AE33,IF($BK$17="12",AM33,IF($BK$17="22",AM33,IF($BK$17="13",AQ33,IF($BK$17="23",AQ33,IF($BK$17="14",AI33,IF($BK$17="24",AI33,IF($BK$17="31",AU33,IF($BK$17="41",AU33,IF($BK$17="32",BC33,IF($BK$17="42",BC33,IF($BK$17="33",BG33,IF($BK$17="43",BG33,IF($BK$17="34",AY33,IF($BK$17="44",AY33,))))))))))))))))</f>
        <v>1.14154</v>
      </c>
      <c r="AA33" s="56">
        <f t="shared" si="13"/>
        <v>1.0306200000000001</v>
      </c>
      <c r="AB33" s="56">
        <f t="shared" si="14"/>
        <v>30.340000000000003</v>
      </c>
      <c r="AC33" s="95">
        <v>1.0306200000000001</v>
      </c>
      <c r="AD33" s="95">
        <v>1.073</v>
      </c>
      <c r="AE33" s="95">
        <v>1.14154</v>
      </c>
      <c r="AF33" s="96">
        <v>18</v>
      </c>
      <c r="AG33" s="95">
        <v>1.0306200000000001</v>
      </c>
      <c r="AH33" s="95">
        <v>1.073</v>
      </c>
      <c r="AI33" s="95">
        <v>1.14154</v>
      </c>
      <c r="AJ33" s="486">
        <v>27</v>
      </c>
      <c r="AK33" s="487">
        <v>1.0306200000000001</v>
      </c>
      <c r="AL33" s="487">
        <v>1.073</v>
      </c>
      <c r="AM33" s="487">
        <v>1.14154</v>
      </c>
      <c r="AN33" s="486">
        <v>30.340000000000003</v>
      </c>
      <c r="AO33" s="487">
        <v>1.0127469901095905</v>
      </c>
      <c r="AP33" s="487">
        <v>1.4118789851268314</v>
      </c>
      <c r="AQ33" s="487">
        <v>1.1240022585776352</v>
      </c>
      <c r="AR33" s="486">
        <v>75.2</v>
      </c>
      <c r="AS33" s="488"/>
      <c r="AT33" s="488"/>
      <c r="AU33" s="488"/>
      <c r="AV33" s="488">
        <v>1000</v>
      </c>
      <c r="AW33" s="488"/>
      <c r="AX33" s="488"/>
      <c r="AY33" s="488"/>
      <c r="AZ33" s="488">
        <v>1000</v>
      </c>
      <c r="BA33" s="97"/>
      <c r="BB33" s="97"/>
      <c r="BC33" s="97"/>
      <c r="BD33" s="97">
        <v>1000</v>
      </c>
      <c r="BE33" s="97"/>
      <c r="BF33" s="97"/>
      <c r="BG33" s="97"/>
      <c r="BH33" s="97">
        <v>1000</v>
      </c>
      <c r="BJ33" s="182"/>
      <c r="BK33" s="82">
        <f t="shared" si="122"/>
        <v>0</v>
      </c>
      <c r="BL33" s="83">
        <f t="shared" si="122"/>
        <v>0</v>
      </c>
      <c r="BM33" s="87">
        <f t="shared" si="122"/>
        <v>1.8304780500024638</v>
      </c>
      <c r="BN33" s="97"/>
      <c r="BO33" s="97"/>
      <c r="BP33" s="106">
        <f>BP38</f>
        <v>1.8304780500024638</v>
      </c>
      <c r="BQ33" s="103">
        <v>8.3104240500000005E-7</v>
      </c>
      <c r="BR33" s="97">
        <f>BO33</f>
        <v>0</v>
      </c>
      <c r="BS33" s="106">
        <v>1.8377764077732492</v>
      </c>
      <c r="BT33" s="97">
        <v>0</v>
      </c>
      <c r="BU33" s="97">
        <v>0</v>
      </c>
      <c r="BV33" s="97">
        <v>0</v>
      </c>
      <c r="BW33" s="97">
        <v>0</v>
      </c>
      <c r="BX33" s="97">
        <v>0</v>
      </c>
      <c r="BY33" s="97">
        <v>0</v>
      </c>
      <c r="BZ33" s="131">
        <f t="shared" si="123"/>
        <v>0</v>
      </c>
      <c r="CA33" s="132">
        <f t="shared" si="123"/>
        <v>3.3630098100000001E-5</v>
      </c>
      <c r="CB33" s="132">
        <f t="shared" ref="CB33:CM38" si="168">IF($BK$17="11",CP33,IF($BK$17="21",CP33,IF($BK$17="12",DR33,IF($BK$17="22",DR33,IF($BK$17="13",EF33,IF($BK$17="23",EF33,IF($BK$17="14",DD33,IF($BK$17="24",DD33,IF($BK$17="31",0,IF($BK$17="41",0,IF($BK$17="32",0,IF($BK$17="42",0,IF($BK$17="33",0,IF($BK$17="43",0,IF($BK$17="34",DD33,IF($BK$17="44",DD33,))))))))))))))))</f>
        <v>-1.53481698E-3</v>
      </c>
      <c r="CC33" s="132">
        <f t="shared" si="168"/>
        <v>-6.3846744100000005E-2</v>
      </c>
      <c r="CD33" s="132">
        <f t="shared" si="168"/>
        <v>-9.8654186199999998</v>
      </c>
      <c r="CE33" s="133">
        <f t="shared" si="168"/>
        <v>412.80249099999997</v>
      </c>
      <c r="CF33" s="131">
        <f t="shared" si="168"/>
        <v>0</v>
      </c>
      <c r="CG33" s="132">
        <f t="shared" si="168"/>
        <v>-4.7453504899999999E-8</v>
      </c>
      <c r="CH33" s="132">
        <f t="shared" si="168"/>
        <v>3.7913158600000003E-5</v>
      </c>
      <c r="CI33" s="132">
        <f t="shared" si="168"/>
        <v>3.1309792299999998E-3</v>
      </c>
      <c r="CJ33" s="132">
        <f t="shared" si="168"/>
        <v>5.4430635599999997</v>
      </c>
      <c r="CK33" s="131">
        <f t="shared" si="168"/>
        <v>-1.3479477799999999E-4</v>
      </c>
      <c r="CL33" s="132">
        <f t="shared" si="168"/>
        <v>-0.31927536499999998</v>
      </c>
      <c r="CM33" s="133">
        <f t="shared" si="168"/>
        <v>778.93333299999995</v>
      </c>
      <c r="CN33" s="357"/>
      <c r="CO33" s="113">
        <v>6.6555350299999998E-4</v>
      </c>
      <c r="CP33" s="113">
        <v>-1.6976383899999999E-2</v>
      </c>
      <c r="CQ33" s="113">
        <v>1.7389095199999999E-2</v>
      </c>
      <c r="CR33" s="113">
        <v>-12.563876799999999</v>
      </c>
      <c r="CS33" s="114">
        <v>255.931928</v>
      </c>
      <c r="CT33" s="357"/>
      <c r="CU33" s="115">
        <v>-1.17896244E-7</v>
      </c>
      <c r="CV33" s="113">
        <v>5.9730537899999999E-5</v>
      </c>
      <c r="CW33" s="113">
        <v>-3.93616003E-4</v>
      </c>
      <c r="CX33" s="116">
        <v>3.9037760399999999</v>
      </c>
      <c r="CY33" s="113">
        <v>-2.0763089800000001E-4</v>
      </c>
      <c r="CZ33" s="113">
        <v>-0.115442935</v>
      </c>
      <c r="DA33" s="423">
        <v>590.01699199999996</v>
      </c>
      <c r="DB33" s="357"/>
      <c r="DC33" s="113">
        <v>5.8996654300000004E-4</v>
      </c>
      <c r="DD33" s="113">
        <v>-3.4804466200000002E-2</v>
      </c>
      <c r="DE33" s="113">
        <v>0.52336862900000003</v>
      </c>
      <c r="DF33" s="113">
        <v>-16.747911599999998</v>
      </c>
      <c r="DG33" s="114">
        <v>458.028999</v>
      </c>
      <c r="DH33" s="357"/>
      <c r="DI33" s="115">
        <v>-3.2003693799999998E-8</v>
      </c>
      <c r="DJ33" s="113">
        <v>2.94380399E-5</v>
      </c>
      <c r="DK33" s="113">
        <v>5.2228839599999998E-3</v>
      </c>
      <c r="DL33" s="116">
        <v>5.4967438099999999</v>
      </c>
      <c r="DM33" s="113">
        <v>-1.0269491600000001E-5</v>
      </c>
      <c r="DN33" s="113">
        <v>-0.18405627499999999</v>
      </c>
      <c r="DO33" s="423">
        <v>726.64838899999995</v>
      </c>
      <c r="DP33" s="422"/>
      <c r="DQ33" s="113">
        <v>3.3630098100000001E-5</v>
      </c>
      <c r="DR33" s="113">
        <v>-1.53481698E-3</v>
      </c>
      <c r="DS33" s="113">
        <v>-6.3846744100000005E-2</v>
      </c>
      <c r="DT33" s="113">
        <v>-9.8654186199999998</v>
      </c>
      <c r="DU33" s="114">
        <v>412.80249099999997</v>
      </c>
      <c r="DV33" s="378"/>
      <c r="DW33" s="126">
        <v>-4.7453504899999999E-8</v>
      </c>
      <c r="DX33" s="120">
        <v>3.7913158600000003E-5</v>
      </c>
      <c r="DY33" s="120">
        <v>3.1309792299999998E-3</v>
      </c>
      <c r="DZ33" s="114">
        <v>5.4430635599999997</v>
      </c>
      <c r="EA33" s="113">
        <f xml:space="preserve"> -0.000134794778</f>
        <v>-1.3479477799999999E-4</v>
      </c>
      <c r="EB33" s="113">
        <v>-0.31927536499999998</v>
      </c>
      <c r="EC33" s="423">
        <v>778.93333299999995</v>
      </c>
      <c r="ED33" s="422"/>
      <c r="EE33" s="113">
        <v>3.3960382799999998E-5</v>
      </c>
      <c r="EF33" s="113">
        <v>-4.9138930799999996E-3</v>
      </c>
      <c r="EG33" s="113">
        <v>0.15794261400000001</v>
      </c>
      <c r="EH33" s="113">
        <v>-9.7591484200000007</v>
      </c>
      <c r="EI33" s="116">
        <v>873.762787</v>
      </c>
      <c r="EJ33" s="378"/>
      <c r="EK33" s="115">
        <v>-3.3571906599999998E-8</v>
      </c>
      <c r="EL33" s="113">
        <v>5.4755146300000001E-5</v>
      </c>
      <c r="EM33" s="113">
        <v>9.1140500499999992E-3</v>
      </c>
      <c r="EN33" s="116">
        <v>19.1305756</v>
      </c>
      <c r="EO33" s="395">
        <v>-4.1951639700000001E-5</v>
      </c>
      <c r="EP33" s="395">
        <v>-8.3237077600000001E-2</v>
      </c>
      <c r="EQ33" s="433">
        <v>1170.3158800000001</v>
      </c>
      <c r="ER33" s="137">
        <v>37.5</v>
      </c>
      <c r="ES33" s="365"/>
      <c r="ET33" s="137">
        <v>37.5</v>
      </c>
      <c r="EU33" s="365"/>
      <c r="EV33" s="137">
        <f>ER33-5</f>
        <v>32.5</v>
      </c>
      <c r="EW33" s="365"/>
      <c r="EX33" s="366"/>
      <c r="EY33" s="367"/>
      <c r="EZ33" s="137">
        <f t="shared" si="125"/>
        <v>17.5</v>
      </c>
      <c r="FA33" s="143">
        <f>Tavg_cold</f>
        <v>17</v>
      </c>
      <c r="FB33" s="143">
        <f t="shared" si="126"/>
        <v>17.5</v>
      </c>
      <c r="FC33" s="143">
        <f t="shared" si="127"/>
        <v>17.5</v>
      </c>
      <c r="FD33" s="143">
        <f t="shared" ref="FD33:FD38" si="169">IF($GC33&lt;=$FC33,$FC33,IF($FM33&lt;=$FP33,$FC33,$FZ33))</f>
        <v>17.5</v>
      </c>
      <c r="FE33" s="350"/>
      <c r="FF33" s="351"/>
      <c r="FG33" s="351"/>
      <c r="FH33" s="352"/>
      <c r="FJ33" s="344">
        <f t="shared" si="128"/>
        <v>0.5</v>
      </c>
      <c r="FK33" s="241">
        <f t="shared" si="129"/>
        <v>1.175</v>
      </c>
      <c r="FL33" s="372"/>
      <c r="FM33" s="230">
        <f t="shared" ref="FM33:FM38" si="170">FQ33/FO33</f>
        <v>0.47244228884744205</v>
      </c>
      <c r="FN33" s="226">
        <f>DU33</f>
        <v>412.80249099999997</v>
      </c>
      <c r="FO33" s="226">
        <f>EI33</f>
        <v>873.762787</v>
      </c>
      <c r="FP33" s="222">
        <f>FN33/FO33</f>
        <v>0.47244228884744205</v>
      </c>
      <c r="FQ33" s="238">
        <f t="shared" si="130"/>
        <v>412.80249099999997</v>
      </c>
      <c r="FR33" s="241">
        <f t="shared" si="131"/>
        <v>0</v>
      </c>
      <c r="FS33" s="242">
        <f t="shared" ref="FS33:FS38" si="171">FO33*(1-FP33)</f>
        <v>460.96029600000008</v>
      </c>
      <c r="FT33" s="248">
        <f t="shared" ref="FT33:FT38" si="172">IF((FR33/FS33)&gt;1,1,FR33/FS33)</f>
        <v>0</v>
      </c>
      <c r="FU33" s="224">
        <f t="shared" si="95"/>
        <v>17.5</v>
      </c>
      <c r="FV33" s="219">
        <f t="shared" si="132"/>
        <v>21.150000000000002</v>
      </c>
      <c r="FW33" s="224">
        <f t="shared" si="96"/>
        <v>3.6500000000000021</v>
      </c>
      <c r="FX33" s="373"/>
      <c r="FY33" s="373"/>
      <c r="FZ33" s="224">
        <f t="shared" si="99"/>
        <v>17.5</v>
      </c>
      <c r="GA33" s="373"/>
      <c r="GC33" s="161">
        <f t="shared" si="133"/>
        <v>15.69066559142683</v>
      </c>
      <c r="GE33" s="259">
        <f t="shared" si="134"/>
        <v>0</v>
      </c>
      <c r="GG33" s="305">
        <f t="shared" si="135"/>
        <v>2334.1781978570243</v>
      </c>
      <c r="GH33" s="305">
        <f t="shared" si="136"/>
        <v>19165.527300437345</v>
      </c>
      <c r="GI33" s="305">
        <f t="shared" si="137"/>
        <v>1167.0890989285122</v>
      </c>
      <c r="GJ33" s="305">
        <f t="shared" si="138"/>
        <v>1167.0890989285119</v>
      </c>
      <c r="GK33" s="305">
        <f t="shared" si="139"/>
        <v>7.2478490515896785E-3</v>
      </c>
      <c r="GL33" s="305">
        <f t="shared" si="15"/>
        <v>7.2478490515896785E-3</v>
      </c>
      <c r="GM33" s="305">
        <f t="shared" si="140"/>
        <v>38.490692183503647</v>
      </c>
      <c r="GN33" s="305">
        <f t="shared" si="141"/>
        <v>78.467026794571638</v>
      </c>
      <c r="GO33" s="306">
        <f t="shared" si="16"/>
        <v>6.0895225089991636E-2</v>
      </c>
      <c r="GQ33" s="305">
        <f t="shared" si="142"/>
        <v>3557.0118570174286</v>
      </c>
      <c r="GR33" s="305">
        <f t="shared" si="143"/>
        <v>2046.2626815249048</v>
      </c>
      <c r="GS33" s="305">
        <f t="shared" si="144"/>
        <v>1778.5059285087143</v>
      </c>
      <c r="GT33" s="305">
        <f t="shared" si="145"/>
        <v>1778.5059285087143</v>
      </c>
      <c r="GU33" s="305">
        <f t="shared" si="146"/>
        <v>1778.5059285087143</v>
      </c>
      <c r="GV33" s="307">
        <f t="shared" si="147"/>
        <v>1.1112703645172665E-2</v>
      </c>
      <c r="GW33" s="307">
        <f t="shared" si="148"/>
        <v>1.1112703645172665E-2</v>
      </c>
      <c r="GX33" s="305">
        <f t="shared" si="149"/>
        <v>1.1112703645172665E-2</v>
      </c>
      <c r="GY33" s="305">
        <f t="shared" si="150"/>
        <v>55.477839519976428</v>
      </c>
      <c r="GZ33" s="305">
        <f t="shared" si="151"/>
        <v>55.477839519976428</v>
      </c>
      <c r="HA33" s="305">
        <f t="shared" si="152"/>
        <v>46.130711225015276</v>
      </c>
      <c r="HB33" s="305">
        <f t="shared" si="17"/>
        <v>19.415087041495514</v>
      </c>
      <c r="HC33" s="305">
        <f t="shared" si="18"/>
        <v>19.415087041495514</v>
      </c>
      <c r="HD33" s="529">
        <f t="shared" si="153"/>
        <v>1265.5751323529887</v>
      </c>
      <c r="HE33" s="57">
        <f t="shared" si="7"/>
        <v>412.80249099999997</v>
      </c>
      <c r="HF33" s="57">
        <f t="shared" si="154"/>
        <v>1265.5751323529887</v>
      </c>
      <c r="HG33" s="525">
        <f t="shared" si="9"/>
        <v>17.5</v>
      </c>
      <c r="HH33" s="57">
        <f t="shared" si="10"/>
        <v>17.5</v>
      </c>
      <c r="HI33" s="503">
        <f t="shared" si="75"/>
        <v>1265.5751323529887</v>
      </c>
      <c r="HJ33" s="2">
        <f t="shared" si="90"/>
        <v>1</v>
      </c>
      <c r="HK33" s="503">
        <f t="shared" si="76"/>
        <v>1265.5751323529887</v>
      </c>
      <c r="HL33" s="344">
        <f t="shared" si="155"/>
        <v>0.5</v>
      </c>
      <c r="HM33" s="241">
        <f t="shared" si="156"/>
        <v>1.175</v>
      </c>
      <c r="HN33" s="372"/>
      <c r="HO33" s="230">
        <f t="shared" ref="HO33:HO38" si="173">HS33/HQ33</f>
        <v>0.47244228884744205</v>
      </c>
      <c r="HP33" s="226">
        <f t="shared" si="157"/>
        <v>412.80249099999997</v>
      </c>
      <c r="HQ33" s="226">
        <f t="shared" si="80"/>
        <v>873.762787</v>
      </c>
      <c r="HR33" s="222">
        <f>HP33/HQ33</f>
        <v>0.47244228884744205</v>
      </c>
      <c r="HS33" s="251">
        <f t="shared" si="11"/>
        <v>412.80249099999997</v>
      </c>
      <c r="HT33" s="241">
        <f t="shared" si="158"/>
        <v>0</v>
      </c>
      <c r="HU33" s="242">
        <f t="shared" ref="HU33:HU38" si="174">HQ33*(1-HR33)</f>
        <v>460.96029600000008</v>
      </c>
      <c r="HV33" s="248">
        <f t="shared" ref="HV33:HV38" si="175">IF((HT33/HU33)&gt;1,1,HT33/HU33)</f>
        <v>0</v>
      </c>
      <c r="HW33" s="224">
        <f t="shared" si="12"/>
        <v>17.5</v>
      </c>
      <c r="HX33" s="219">
        <f t="shared" si="159"/>
        <v>21.150000000000002</v>
      </c>
      <c r="HY33" s="224">
        <f t="shared" si="160"/>
        <v>3.6500000000000021</v>
      </c>
      <c r="HZ33" s="373"/>
      <c r="IA33" s="373"/>
      <c r="IB33" s="224">
        <f t="shared" si="161"/>
        <v>17.5</v>
      </c>
      <c r="IC33" s="373"/>
      <c r="IE33" s="161">
        <f t="shared" si="162"/>
        <v>15.69066559142683</v>
      </c>
      <c r="IG33" s="259" t="e">
        <f t="shared" si="163"/>
        <v>#DIV/0!</v>
      </c>
      <c r="II33" s="305">
        <f t="shared" si="164"/>
        <v>2334.1781978570243</v>
      </c>
      <c r="IJ33" s="305">
        <f t="shared" si="165"/>
        <v>19165.527300437345</v>
      </c>
    </row>
    <row r="34" spans="2:244" ht="15" customHeight="1" x14ac:dyDescent="0.25">
      <c r="B34" s="195">
        <f>IF($AL$5=1,$C34/10,IF($AL$5=2,$C34/10,IF($AL$5=3,0.25,IF($AL$5=4,$C34/10,))))</f>
        <v>0.5</v>
      </c>
      <c r="C34" s="336">
        <v>5</v>
      </c>
      <c r="D34" s="329">
        <f t="shared" si="104"/>
        <v>-828.84789071449211</v>
      </c>
      <c r="E34" s="172">
        <f t="shared" si="105"/>
        <v>-71</v>
      </c>
      <c r="F34" s="330" t="e">
        <f t="shared" si="106"/>
        <v>#NUM!</v>
      </c>
      <c r="G34" s="329">
        <f t="shared" si="107"/>
        <v>-168.87699058900006</v>
      </c>
      <c r="H34" s="32">
        <f t="shared" si="108"/>
        <v>-168.87699058900006</v>
      </c>
      <c r="I34" s="30">
        <f>IF(Geg_dP&lt;AB34,ROUND(((IF('Briza 22 &amp; 26'!$M$4="High Perform. 208/230V (US/EU)",cal!HK34,H34)/Watts)/((Tr_cool-Tv_cool)*1.163))*FlowH2O,IF(UnitsNo=1,0,IF(UnitsNo=2,2))),"")</f>
        <v>-73</v>
      </c>
      <c r="J34" s="330" t="e">
        <f t="shared" si="109"/>
        <v>#NUM!</v>
      </c>
      <c r="K34" s="333">
        <f t="shared" si="110"/>
        <v>0</v>
      </c>
      <c r="L34" s="297">
        <f>IF(Geg_dP&lt;$AB34,0,"")</f>
        <v>0</v>
      </c>
      <c r="M34" s="198">
        <f t="shared" si="111"/>
        <v>0</v>
      </c>
      <c r="N34" s="197">
        <f t="shared" si="112"/>
        <v>0</v>
      </c>
      <c r="O34" s="480">
        <f t="shared" si="113"/>
        <v>0</v>
      </c>
      <c r="P34" s="198" t="e">
        <f t="shared" si="114"/>
        <v>#DIV/0!</v>
      </c>
      <c r="Q34" s="297" t="e">
        <f t="shared" si="115"/>
        <v>#DIV/0!</v>
      </c>
      <c r="R34" s="509" t="e">
        <f t="shared" si="116"/>
        <v>#DIV/0!</v>
      </c>
      <c r="S34" s="36" t="e">
        <f t="shared" si="117"/>
        <v>#DIV/0!</v>
      </c>
      <c r="T34" s="300" t="e">
        <f t="shared" si="118"/>
        <v>#DIV/0!</v>
      </c>
      <c r="U34" s="416">
        <f t="shared" si="119"/>
        <v>0</v>
      </c>
      <c r="V34" s="483" t="e">
        <f t="shared" si="120"/>
        <v>#DIV/0!</v>
      </c>
      <c r="W34" s="513" t="e">
        <f t="shared" si="121"/>
        <v>#DIV/0!</v>
      </c>
      <c r="X34" s="56">
        <f t="shared" si="1"/>
        <v>1.0306200000000001</v>
      </c>
      <c r="Y34" s="56">
        <f t="shared" si="166"/>
        <v>1.073</v>
      </c>
      <c r="Z34" s="56">
        <f t="shared" si="167"/>
        <v>1.14154</v>
      </c>
      <c r="AA34" s="56">
        <f t="shared" si="13"/>
        <v>1.0306200000000001</v>
      </c>
      <c r="AB34" s="56">
        <f t="shared" si="14"/>
        <v>43.94</v>
      </c>
      <c r="AC34" s="95">
        <v>1.0306200000000001</v>
      </c>
      <c r="AD34" s="95">
        <v>1.073</v>
      </c>
      <c r="AE34" s="95">
        <v>1.14154</v>
      </c>
      <c r="AF34" s="96">
        <f>AF33+((AF35-AF33)/2)</f>
        <v>28</v>
      </c>
      <c r="AG34" s="95">
        <v>1.0306200000000001</v>
      </c>
      <c r="AH34" s="95">
        <v>1.073</v>
      </c>
      <c r="AI34" s="95">
        <v>1.14154</v>
      </c>
      <c r="AJ34" s="486">
        <f>AJ33+((AJ35-AJ33)/2)</f>
        <v>43.5</v>
      </c>
      <c r="AK34" s="487">
        <v>1.0306200000000001</v>
      </c>
      <c r="AL34" s="487">
        <v>1.073</v>
      </c>
      <c r="AM34" s="487">
        <v>1.14154</v>
      </c>
      <c r="AN34" s="486">
        <f>AN33+((AN35-AN33)/2)</f>
        <v>43.94</v>
      </c>
      <c r="AO34" s="487">
        <v>1.0127469901095905</v>
      </c>
      <c r="AP34" s="487">
        <v>1.4118789851268314</v>
      </c>
      <c r="AQ34" s="487">
        <v>1.1240022585776352</v>
      </c>
      <c r="AR34" s="486">
        <v>106</v>
      </c>
      <c r="AS34" s="488"/>
      <c r="AT34" s="488"/>
      <c r="AU34" s="488"/>
      <c r="AV34" s="488">
        <v>1000</v>
      </c>
      <c r="AW34" s="488"/>
      <c r="AX34" s="488"/>
      <c r="AY34" s="488"/>
      <c r="AZ34" s="488">
        <v>1000</v>
      </c>
      <c r="BA34" s="97"/>
      <c r="BB34" s="97"/>
      <c r="BC34" s="97"/>
      <c r="BD34" s="97">
        <v>1000</v>
      </c>
      <c r="BE34" s="97"/>
      <c r="BF34" s="97"/>
      <c r="BG34" s="97"/>
      <c r="BH34" s="97">
        <v>1000</v>
      </c>
      <c r="BJ34" s="182"/>
      <c r="BK34" s="252"/>
      <c r="BL34" s="253"/>
      <c r="BM34" s="253"/>
      <c r="BN34" s="252"/>
      <c r="BO34" s="253"/>
      <c r="BP34" s="254"/>
      <c r="BQ34" s="252"/>
      <c r="BR34" s="253"/>
      <c r="BS34" s="254"/>
      <c r="BT34" s="252"/>
      <c r="BU34" s="253"/>
      <c r="BV34" s="254"/>
      <c r="BW34" s="252"/>
      <c r="BX34" s="253"/>
      <c r="BY34" s="254"/>
      <c r="BZ34" s="131">
        <f t="shared" si="123"/>
        <v>0</v>
      </c>
      <c r="CA34" s="132">
        <f t="shared" si="123"/>
        <v>0</v>
      </c>
      <c r="CB34" s="132">
        <f t="shared" si="168"/>
        <v>0</v>
      </c>
      <c r="CC34" s="132">
        <f t="shared" si="168"/>
        <v>0</v>
      </c>
      <c r="CD34" s="132">
        <f t="shared" si="168"/>
        <v>0</v>
      </c>
      <c r="CE34" s="133">
        <f t="shared" si="168"/>
        <v>0</v>
      </c>
      <c r="CF34" s="131">
        <f t="shared" si="168"/>
        <v>0</v>
      </c>
      <c r="CG34" s="132">
        <f t="shared" si="168"/>
        <v>0</v>
      </c>
      <c r="CH34" s="132">
        <f t="shared" si="168"/>
        <v>0</v>
      </c>
      <c r="CI34" s="132">
        <f t="shared" si="168"/>
        <v>0</v>
      </c>
      <c r="CJ34" s="132">
        <f t="shared" si="168"/>
        <v>0</v>
      </c>
      <c r="CK34" s="131">
        <f t="shared" si="168"/>
        <v>0</v>
      </c>
      <c r="CL34" s="132">
        <f t="shared" si="168"/>
        <v>0</v>
      </c>
      <c r="CM34" s="133">
        <f t="shared" si="168"/>
        <v>0</v>
      </c>
      <c r="CN34" s="384"/>
      <c r="CO34" s="380"/>
      <c r="CP34" s="380"/>
      <c r="CQ34" s="380"/>
      <c r="CR34" s="380"/>
      <c r="CS34" s="381"/>
      <c r="CT34" s="384"/>
      <c r="CU34" s="380"/>
      <c r="CV34" s="380"/>
      <c r="CW34" s="380"/>
      <c r="CX34" s="381"/>
      <c r="CY34" s="380"/>
      <c r="CZ34" s="380"/>
      <c r="DA34" s="427"/>
      <c r="DB34" s="384"/>
      <c r="DC34" s="380"/>
      <c r="DD34" s="380"/>
      <c r="DE34" s="380"/>
      <c r="DF34" s="380"/>
      <c r="DG34" s="381"/>
      <c r="DH34" s="384"/>
      <c r="DI34" s="380"/>
      <c r="DJ34" s="380"/>
      <c r="DK34" s="380"/>
      <c r="DL34" s="381"/>
      <c r="DM34" s="380"/>
      <c r="DN34" s="380"/>
      <c r="DO34" s="427"/>
      <c r="DP34" s="426"/>
      <c r="DQ34" s="380"/>
      <c r="DR34" s="380"/>
      <c r="DS34" s="380"/>
      <c r="DT34" s="380"/>
      <c r="DU34" s="381"/>
      <c r="DV34" s="375"/>
      <c r="DW34" s="382"/>
      <c r="DX34" s="382"/>
      <c r="DY34" s="382"/>
      <c r="DZ34" s="383"/>
      <c r="EA34" s="380"/>
      <c r="EB34" s="380"/>
      <c r="EC34" s="427"/>
      <c r="ED34" s="429"/>
      <c r="EE34" s="393"/>
      <c r="EF34" s="113">
        <v>6.5021735000000002E-6</v>
      </c>
      <c r="EG34" s="113">
        <v>-4.0978297599999998E-2</v>
      </c>
      <c r="EH34" s="113">
        <v>-5.6928877099999999</v>
      </c>
      <c r="EI34" s="116">
        <v>1063.4372000000001</v>
      </c>
      <c r="EJ34" s="378"/>
      <c r="EK34" s="115">
        <v>-2.8006688899999999E-8</v>
      </c>
      <c r="EL34" s="113">
        <v>5.4201533999999999E-5</v>
      </c>
      <c r="EM34" s="113">
        <v>1.82474673E-2</v>
      </c>
      <c r="EN34" s="116">
        <v>29.069229199999999</v>
      </c>
      <c r="EO34" s="395">
        <v>-2.5195602399999998E-5</v>
      </c>
      <c r="EP34" s="395">
        <v>-0.12514607899999999</v>
      </c>
      <c r="EQ34" s="433">
        <v>1424.83611</v>
      </c>
      <c r="ER34" s="444"/>
      <c r="ES34" s="441"/>
      <c r="ET34" s="443"/>
      <c r="EU34" s="441"/>
      <c r="EV34" s="443"/>
      <c r="EW34" s="441"/>
      <c r="EX34" s="441"/>
      <c r="EY34" s="442"/>
      <c r="EZ34" s="530">
        <f t="shared" si="125"/>
        <v>17</v>
      </c>
      <c r="FA34" s="143">
        <f>((FA35-FA33)/2)+FA33</f>
        <v>17</v>
      </c>
      <c r="FB34" s="143">
        <f t="shared" si="126"/>
        <v>17</v>
      </c>
      <c r="FC34" s="143">
        <f t="shared" si="127"/>
        <v>17</v>
      </c>
      <c r="FD34" s="143">
        <f t="shared" si="169"/>
        <v>17</v>
      </c>
      <c r="FE34" s="350"/>
      <c r="FF34" s="351"/>
      <c r="FG34" s="351"/>
      <c r="FH34" s="352"/>
      <c r="FJ34" s="344">
        <f t="shared" si="128"/>
        <v>0</v>
      </c>
      <c r="FK34" s="241">
        <f t="shared" si="129"/>
        <v>1.175</v>
      </c>
      <c r="FL34" s="372"/>
      <c r="FM34" s="230">
        <f t="shared" si="170"/>
        <v>0</v>
      </c>
      <c r="FN34" s="226">
        <f>((FN35-FN33)/2)+FN33</f>
        <v>488.82188499999995</v>
      </c>
      <c r="FO34" s="226">
        <f>((FO35-FO33)/2)+FO33</f>
        <v>1068.5978634999999</v>
      </c>
      <c r="FP34" s="222">
        <f>FN34/FO34</f>
        <v>0.45744231922657219</v>
      </c>
      <c r="FQ34" s="238">
        <f t="shared" si="130"/>
        <v>0</v>
      </c>
      <c r="FR34" s="241">
        <f t="shared" si="131"/>
        <v>0</v>
      </c>
      <c r="FS34" s="242">
        <f t="shared" si="171"/>
        <v>579.77597849999995</v>
      </c>
      <c r="FT34" s="248">
        <f t="shared" si="172"/>
        <v>0</v>
      </c>
      <c r="FU34" s="224">
        <f t="shared" si="95"/>
        <v>17</v>
      </c>
      <c r="FV34" s="219">
        <f t="shared" si="132"/>
        <v>21.150000000000002</v>
      </c>
      <c r="FW34" s="224">
        <f t="shared" si="96"/>
        <v>4.1500000000000021</v>
      </c>
      <c r="FX34" s="373"/>
      <c r="FY34" s="373"/>
      <c r="FZ34" s="224">
        <f t="shared" si="99"/>
        <v>17</v>
      </c>
      <c r="GA34" s="373"/>
      <c r="GC34" s="161">
        <f t="shared" si="133"/>
        <v>15.69066559142683</v>
      </c>
      <c r="GE34" s="259">
        <f t="shared" si="134"/>
        <v>0</v>
      </c>
      <c r="GG34" s="305">
        <f t="shared" si="135"/>
        <v>2334.1781978570243</v>
      </c>
      <c r="GH34" s="305" t="e">
        <f t="shared" si="136"/>
        <v>#DIV/0!</v>
      </c>
      <c r="GI34" s="305">
        <f t="shared" si="137"/>
        <v>1167.0890989285122</v>
      </c>
      <c r="GJ34" s="305">
        <f t="shared" si="138"/>
        <v>1167.0890989285119</v>
      </c>
      <c r="GK34" s="305">
        <f t="shared" si="139"/>
        <v>7.2478490515896785E-3</v>
      </c>
      <c r="GL34" s="305">
        <f t="shared" si="15"/>
        <v>7.2478490515896785E-3</v>
      </c>
      <c r="GM34" s="305">
        <f t="shared" si="140"/>
        <v>38.490692183503647</v>
      </c>
      <c r="GN34" s="305" t="e">
        <f t="shared" si="141"/>
        <v>#DIV/0!</v>
      </c>
      <c r="GO34" s="306" t="e">
        <f t="shared" si="16"/>
        <v>#DIV/0!</v>
      </c>
      <c r="GQ34" s="305">
        <f t="shared" si="142"/>
        <v>3557.0118570174286</v>
      </c>
      <c r="GR34" s="305" t="e">
        <f t="shared" si="143"/>
        <v>#DIV/0!</v>
      </c>
      <c r="GS34" s="305">
        <f t="shared" si="144"/>
        <v>1778.5059285087143</v>
      </c>
      <c r="GT34" s="305">
        <f t="shared" si="145"/>
        <v>1778.5059285087143</v>
      </c>
      <c r="GU34" s="305" t="e">
        <f t="shared" si="146"/>
        <v>#DIV/0!</v>
      </c>
      <c r="GV34" s="307">
        <f t="shared" si="147"/>
        <v>1.1112703645172665E-2</v>
      </c>
      <c r="GW34" s="307">
        <f t="shared" si="148"/>
        <v>1.1112703645172665E-2</v>
      </c>
      <c r="GX34" s="305" t="e">
        <f t="shared" si="149"/>
        <v>#DIV/0!</v>
      </c>
      <c r="GY34" s="305">
        <f t="shared" si="150"/>
        <v>55.477839519976428</v>
      </c>
      <c r="GZ34" s="305" t="e">
        <f t="shared" si="151"/>
        <v>#DIV/0!</v>
      </c>
      <c r="HA34" s="305" t="e">
        <f t="shared" si="152"/>
        <v>#DIV/0!</v>
      </c>
      <c r="HB34" s="305">
        <f t="shared" si="17"/>
        <v>19.415087041495514</v>
      </c>
      <c r="HC34" s="305" t="e">
        <f t="shared" si="18"/>
        <v>#DIV/0!</v>
      </c>
      <c r="HD34" s="529">
        <f t="shared" si="153"/>
        <v>-168.87699058900006</v>
      </c>
      <c r="HE34" s="57">
        <f t="shared" si="7"/>
        <v>0</v>
      </c>
      <c r="HF34" s="57">
        <f t="shared" si="154"/>
        <v>-168.87699058900006</v>
      </c>
      <c r="HG34" s="525">
        <f t="shared" si="9"/>
        <v>17</v>
      </c>
      <c r="HH34" s="57">
        <f t="shared" si="10"/>
        <v>17</v>
      </c>
      <c r="HI34" s="503">
        <f t="shared" si="75"/>
        <v>-168.87699058900006</v>
      </c>
      <c r="HJ34" s="2">
        <f t="shared" si="90"/>
        <v>1</v>
      </c>
      <c r="HK34" s="503">
        <f t="shared" si="76"/>
        <v>-168.87699058900006</v>
      </c>
      <c r="HL34" s="344">
        <f t="shared" si="155"/>
        <v>0</v>
      </c>
      <c r="HM34" s="241">
        <f t="shared" si="156"/>
        <v>1.175</v>
      </c>
      <c r="HN34" s="372"/>
      <c r="HO34" s="230">
        <f t="shared" si="173"/>
        <v>0</v>
      </c>
      <c r="HP34" s="226">
        <f>((HP35-HP33)/2)+HP33</f>
        <v>488.82188499999995</v>
      </c>
      <c r="HQ34" s="226">
        <f>((HQ35-HQ33)/2)+HQ33</f>
        <v>1068.5978634999999</v>
      </c>
      <c r="HR34" s="222">
        <f>HP34/HQ34</f>
        <v>0.45744231922657219</v>
      </c>
      <c r="HS34" s="251">
        <f t="shared" si="11"/>
        <v>0</v>
      </c>
      <c r="HT34" s="241">
        <f t="shared" si="158"/>
        <v>0</v>
      </c>
      <c r="HU34" s="242">
        <f t="shared" si="174"/>
        <v>579.77597849999995</v>
      </c>
      <c r="HV34" s="248">
        <f t="shared" si="175"/>
        <v>0</v>
      </c>
      <c r="HW34" s="224">
        <f t="shared" si="12"/>
        <v>17</v>
      </c>
      <c r="HX34" s="219">
        <f t="shared" si="159"/>
        <v>21.150000000000002</v>
      </c>
      <c r="HY34" s="224">
        <f t="shared" si="160"/>
        <v>4.1500000000000021</v>
      </c>
      <c r="HZ34" s="373"/>
      <c r="IA34" s="373"/>
      <c r="IB34" s="224">
        <f t="shared" si="161"/>
        <v>17</v>
      </c>
      <c r="IC34" s="373"/>
      <c r="IE34" s="161">
        <f t="shared" si="162"/>
        <v>15.69066559142683</v>
      </c>
      <c r="IG34" s="259" t="e">
        <f t="shared" si="163"/>
        <v>#DIV/0!</v>
      </c>
      <c r="II34" s="305">
        <f t="shared" si="164"/>
        <v>2334.1781978570243</v>
      </c>
      <c r="IJ34" s="305" t="e">
        <f t="shared" si="165"/>
        <v>#DIV/0!</v>
      </c>
    </row>
    <row r="35" spans="2:244" ht="15" customHeight="1" x14ac:dyDescent="0.25">
      <c r="B35" s="195">
        <f>IF($AL$5=1,$C35/10,IF($AL$5=2,$C35/10,IF($AL$5=3,0.5,IF($AL$5=4,$C35/10,))))</f>
        <v>0.6</v>
      </c>
      <c r="C35" s="336">
        <v>6</v>
      </c>
      <c r="D35" s="329">
        <f t="shared" si="104"/>
        <v>7359.7021092057121</v>
      </c>
      <c r="E35" s="30">
        <f t="shared" si="105"/>
        <v>633</v>
      </c>
      <c r="F35" s="330">
        <f t="shared" si="106"/>
        <v>11.691966501114814</v>
      </c>
      <c r="G35" s="329">
        <f t="shared" si="107"/>
        <v>1675.0755144910545</v>
      </c>
      <c r="H35" s="32">
        <f t="shared" si="108"/>
        <v>1675.0755144910545</v>
      </c>
      <c r="I35" s="30">
        <f>IF(Geg_dP&lt;AB35,ROUND(((IF('Briza 22 &amp; 26'!$M$4="High Perform. 208/230V (US/EU)",cal!HK35,H35)/Watts)/((Tr_cool-Tv_cool)*1.163))*FlowH2O,IF(UnitsNo=1,0,IF(UnitsNo=2,2))),"")</f>
        <v>720</v>
      </c>
      <c r="J35" s="330">
        <f t="shared" si="109"/>
        <v>14.800077115227213</v>
      </c>
      <c r="K35" s="333">
        <f t="shared" si="110"/>
        <v>37</v>
      </c>
      <c r="L35" s="297">
        <f>IF(Geg_dP&lt;$AB35,IF(CalcNo="12",$ET35,IF(CalcNo="22",$ET35,IF(CalcNo="13",$EU35,IF(CalcNo="23",$EU35,IF(CalcNo="11",$ER35,IF(CalcNo="21",$ER35,IF(CalcNo="14",$ES35,IF(CalcNo="24",$ES35,IF(CalcNo="32",$EX35,IF(CalcNo="42",$EX35,IF(CalcNo="33",$EY35,IF(CalcNo="43",$EY35,IF(CalcNo="31",$EV35,IF(CalcNo="41",$EV35,IF(CalcNo="34",$EW35,IF(CalcNo="44",$EW35,)))))))))))))))),"")</f>
        <v>45</v>
      </c>
      <c r="M35" s="198">
        <f t="shared" si="111"/>
        <v>20.589359735431245</v>
      </c>
      <c r="N35" s="197">
        <f t="shared" si="112"/>
        <v>564.84127899999999</v>
      </c>
      <c r="O35" s="480">
        <f t="shared" si="113"/>
        <v>0.75071940324295583</v>
      </c>
      <c r="P35" s="198">
        <f t="shared" si="114"/>
        <v>58.246314913195711</v>
      </c>
      <c r="Q35" s="297">
        <f t="shared" si="115"/>
        <v>25.398635921991204</v>
      </c>
      <c r="R35" s="509">
        <f t="shared" si="116"/>
        <v>18.185737185141427</v>
      </c>
      <c r="S35" s="36">
        <f t="shared" si="117"/>
        <v>16.5219295645473</v>
      </c>
      <c r="T35" s="300">
        <f t="shared" si="118"/>
        <v>0.85304520350089763</v>
      </c>
      <c r="U35" s="416">
        <f t="shared" si="119"/>
        <v>797.69768051197843</v>
      </c>
      <c r="V35" s="483">
        <f t="shared" si="120"/>
        <v>0.13122570499588518</v>
      </c>
      <c r="W35" s="513">
        <f t="shared" si="121"/>
        <v>2.9655685176845132</v>
      </c>
      <c r="X35" s="56">
        <f t="shared" si="1"/>
        <v>1.0306200000000001</v>
      </c>
      <c r="Y35" s="56">
        <f t="shared" si="166"/>
        <v>1.073</v>
      </c>
      <c r="Z35" s="56">
        <f t="shared" si="167"/>
        <v>1.14154</v>
      </c>
      <c r="AA35" s="56">
        <f t="shared" si="13"/>
        <v>1.0306200000000001</v>
      </c>
      <c r="AB35" s="56">
        <f t="shared" si="14"/>
        <v>57.54</v>
      </c>
      <c r="AC35" s="95">
        <v>1.0306200000000001</v>
      </c>
      <c r="AD35" s="95">
        <v>1.073</v>
      </c>
      <c r="AE35" s="95">
        <v>1.14154</v>
      </c>
      <c r="AF35" s="96">
        <v>38</v>
      </c>
      <c r="AG35" s="95">
        <v>1.0306200000000001</v>
      </c>
      <c r="AH35" s="95">
        <v>1.073</v>
      </c>
      <c r="AI35" s="95">
        <v>1.14154</v>
      </c>
      <c r="AJ35" s="486">
        <v>60</v>
      </c>
      <c r="AK35" s="487">
        <v>1.0306200000000001</v>
      </c>
      <c r="AL35" s="487">
        <v>1.073</v>
      </c>
      <c r="AM35" s="487">
        <v>1.14154</v>
      </c>
      <c r="AN35" s="486">
        <v>57.54</v>
      </c>
      <c r="AO35" s="487">
        <v>1.0127469901095905</v>
      </c>
      <c r="AP35" s="487">
        <v>1.4118789851268314</v>
      </c>
      <c r="AQ35" s="487">
        <v>1.1240022585776352</v>
      </c>
      <c r="AR35" s="486">
        <v>159.32</v>
      </c>
      <c r="AS35" s="488"/>
      <c r="AT35" s="488"/>
      <c r="AU35" s="488"/>
      <c r="AV35" s="488">
        <v>1000</v>
      </c>
      <c r="AW35" s="488"/>
      <c r="AX35" s="488"/>
      <c r="AY35" s="488"/>
      <c r="AZ35" s="488">
        <v>1000</v>
      </c>
      <c r="BA35" s="97"/>
      <c r="BB35" s="97"/>
      <c r="BC35" s="97"/>
      <c r="BD35" s="97">
        <v>1000</v>
      </c>
      <c r="BE35" s="97"/>
      <c r="BF35" s="97"/>
      <c r="BG35" s="97"/>
      <c r="BH35" s="97">
        <v>1000</v>
      </c>
      <c r="BJ35" s="182"/>
      <c r="BK35" s="82">
        <f>IF($BK$17="11",BN35,IF($BK$17="21",BQ35,IF($BK$17="12",BN35,IF($BK$17="22",BQ35,IF($BK$17="13",BN35,IF($BK$17="23",BQ35,IF($BK$17="14",BN35,IF($BK$17="24",BQ35,IF($BK$17="31",BT35,IF($BK$17="41",BW35,IF($BK$17="32",BT35,IF($BK$17="42",BW35,IF($BK$17="33",BT35,IF($BK$17="43",BW35,IF($BK$17="34",BT35,IF($BK$17="44",BW35,))))))))))))))))</f>
        <v>-3.20893891E-3</v>
      </c>
      <c r="BL35" s="83">
        <f>IF($BK$17="11",BO35,IF($BK$17="21",BR35,IF($BK$17="12",BO35,IF($BK$17="22",BR35,IF($BK$17="13",BO35,IF($BK$17="23",BR35,IF($BK$17="14",BO35,IF($BK$17="24",BR35,IF($BK$17="31",BU35,IF($BK$17="41",BX35,IF($BK$17="32",BU35,IF($BK$17="42",BX35,IF($BK$17="33",BU35,IF($BK$17="43",BX35,IF($BK$17="34",BU35,IF($BK$17="44",BX35,))))))))))))))))</f>
        <v>-2.5127754300000001E-3</v>
      </c>
      <c r="BM35" s="97"/>
      <c r="BN35" s="103">
        <v>-3.20893891E-3</v>
      </c>
      <c r="BO35" s="104">
        <v>-2.5127754300000001E-3</v>
      </c>
      <c r="BP35" s="97"/>
      <c r="BQ35" s="103">
        <v>-3.1753197499999998E-3</v>
      </c>
      <c r="BR35" s="104">
        <f>BO35</f>
        <v>-2.5127754300000001E-3</v>
      </c>
      <c r="BS35" s="97"/>
      <c r="BT35" s="97">
        <v>0</v>
      </c>
      <c r="BU35" s="97">
        <v>0</v>
      </c>
      <c r="BV35" s="97">
        <v>0</v>
      </c>
      <c r="BW35" s="97">
        <v>0</v>
      </c>
      <c r="BX35" s="97">
        <v>0</v>
      </c>
      <c r="BY35" s="97">
        <v>0</v>
      </c>
      <c r="BZ35" s="131">
        <f t="shared" si="123"/>
        <v>0</v>
      </c>
      <c r="CA35" s="132">
        <f t="shared" si="123"/>
        <v>-1.5827696500000001E-5</v>
      </c>
      <c r="CB35" s="132">
        <f t="shared" si="168"/>
        <v>2.0882429800000001E-3</v>
      </c>
      <c r="CC35" s="132">
        <f t="shared" si="168"/>
        <v>-0.119400932</v>
      </c>
      <c r="CD35" s="132">
        <f t="shared" si="168"/>
        <v>-6.2997982500000003</v>
      </c>
      <c r="CE35" s="133">
        <f t="shared" si="168"/>
        <v>564.84127899999999</v>
      </c>
      <c r="CF35" s="131">
        <f t="shared" si="168"/>
        <v>0</v>
      </c>
      <c r="CG35" s="132">
        <f t="shared" si="168"/>
        <v>-4.1884479700000002E-8</v>
      </c>
      <c r="CH35" s="132">
        <f t="shared" si="168"/>
        <v>4.5783860399999997E-5</v>
      </c>
      <c r="CI35" s="132">
        <f t="shared" si="168"/>
        <v>6.6458868300000003E-3</v>
      </c>
      <c r="CJ35" s="132">
        <f t="shared" si="168"/>
        <v>9.7763550600000002</v>
      </c>
      <c r="CK35" s="131">
        <f t="shared" si="168"/>
        <v>-1.4390133999999999E-4</v>
      </c>
      <c r="CL35" s="132">
        <f t="shared" si="168"/>
        <v>-0.36287569200000003</v>
      </c>
      <c r="CM35" s="133">
        <f t="shared" si="168"/>
        <v>1048.5759499999999</v>
      </c>
      <c r="CN35" s="357"/>
      <c r="CO35" s="113">
        <v>3.1584894899999998E-5</v>
      </c>
      <c r="CP35" s="113">
        <v>-1.41584787E-3</v>
      </c>
      <c r="CQ35" s="113">
        <v>-3.5136362099999999E-2</v>
      </c>
      <c r="CR35" s="113">
        <v>-9.5262844199999996</v>
      </c>
      <c r="CS35" s="116">
        <v>426.93058000000002</v>
      </c>
      <c r="CT35" s="357"/>
      <c r="CU35" s="115">
        <v>-7.8192546799999999E-8</v>
      </c>
      <c r="CV35" s="113">
        <v>6.3819384000000004E-5</v>
      </c>
      <c r="CW35" s="113">
        <v>1.66224254E-3</v>
      </c>
      <c r="CX35" s="116">
        <v>6.9953028899999996</v>
      </c>
      <c r="CY35" s="113">
        <v>-1.1850474499999999E-4</v>
      </c>
      <c r="CZ35" s="113">
        <v>-0.154918149</v>
      </c>
      <c r="DA35" s="423">
        <v>839.41673600000001</v>
      </c>
      <c r="DB35" s="357"/>
      <c r="DC35" s="113">
        <v>-6.80107186E-6</v>
      </c>
      <c r="DD35" s="113">
        <v>1.0029360500000001E-3</v>
      </c>
      <c r="DE35" s="113">
        <v>-9.3534372099999999E-2</v>
      </c>
      <c r="DF35" s="113">
        <v>-7.7682051000000003</v>
      </c>
      <c r="DG35" s="116">
        <v>691.93055400000003</v>
      </c>
      <c r="DH35" s="357"/>
      <c r="DI35" s="115">
        <v>-4.2531067600000001E-8</v>
      </c>
      <c r="DJ35" s="113">
        <v>4.8929271899999998E-5</v>
      </c>
      <c r="DK35" s="113">
        <v>9.6008986599999992E-3</v>
      </c>
      <c r="DL35" s="116">
        <v>11.1444686</v>
      </c>
      <c r="DM35" s="113">
        <v>-8.5420287499999992E-6</v>
      </c>
      <c r="DN35" s="113">
        <v>-0.2492499</v>
      </c>
      <c r="DO35" s="423">
        <v>1064.3143299999999</v>
      </c>
      <c r="DP35" s="422"/>
      <c r="DQ35" s="113">
        <v>-1.5827696500000001E-5</v>
      </c>
      <c r="DR35" s="113">
        <v>2.0882429800000001E-3</v>
      </c>
      <c r="DS35" s="113">
        <v>-0.119400932</v>
      </c>
      <c r="DT35" s="113">
        <v>-6.2997982500000003</v>
      </c>
      <c r="DU35" s="116">
        <v>564.84127899999999</v>
      </c>
      <c r="DV35" s="378"/>
      <c r="DW35" s="126">
        <v>-4.1884479700000002E-8</v>
      </c>
      <c r="DX35" s="120">
        <v>4.5783860399999997E-5</v>
      </c>
      <c r="DY35" s="120">
        <v>6.6458868300000003E-3</v>
      </c>
      <c r="DZ35" s="114">
        <v>9.7763550600000002</v>
      </c>
      <c r="EA35" s="113">
        <v>-1.4390133999999999E-4</v>
      </c>
      <c r="EB35" s="113">
        <v>-0.36287569200000003</v>
      </c>
      <c r="EC35" s="423">
        <v>1048.5759499999999</v>
      </c>
      <c r="ED35" s="422"/>
      <c r="EE35" s="113">
        <v>1.3262026399999999E-6</v>
      </c>
      <c r="EF35" s="113">
        <v>-3.6609038899999998E-4</v>
      </c>
      <c r="EG35" s="113">
        <v>1.02574768E-2</v>
      </c>
      <c r="EH35" s="113">
        <v>-5.5018502299999996</v>
      </c>
      <c r="EI35" s="116">
        <v>1263.4329399999999</v>
      </c>
      <c r="EJ35" s="378"/>
      <c r="EK35" s="115">
        <v>-2.2441471099999999E-8</v>
      </c>
      <c r="EL35" s="113">
        <v>5.3647921800000002E-5</v>
      </c>
      <c r="EM35" s="113">
        <v>2.7380884500000001E-2</v>
      </c>
      <c r="EN35" s="116">
        <v>39.007882799999997</v>
      </c>
      <c r="EO35" s="395">
        <v>-8.4395650799999992E-6</v>
      </c>
      <c r="EP35" s="395">
        <v>-0.16705508099999999</v>
      </c>
      <c r="EQ35" s="433">
        <v>1679.35635</v>
      </c>
      <c r="ER35" s="137">
        <v>45</v>
      </c>
      <c r="ES35" s="365"/>
      <c r="ET35" s="137">
        <v>45</v>
      </c>
      <c r="EU35" s="365"/>
      <c r="EV35" s="137">
        <f>ER35-5</f>
        <v>40</v>
      </c>
      <c r="EW35" s="365"/>
      <c r="EX35" s="366"/>
      <c r="EY35" s="367"/>
      <c r="EZ35" s="137">
        <f t="shared" si="125"/>
        <v>17.5</v>
      </c>
      <c r="FA35" s="143">
        <f>Tavg_cold</f>
        <v>17</v>
      </c>
      <c r="FB35" s="143">
        <f t="shared" si="126"/>
        <v>17.5</v>
      </c>
      <c r="FC35" s="143">
        <f t="shared" si="127"/>
        <v>17.5</v>
      </c>
      <c r="FD35" s="143">
        <f t="shared" si="169"/>
        <v>17.5</v>
      </c>
      <c r="FE35" s="350"/>
      <c r="FF35" s="351"/>
      <c r="FG35" s="351"/>
      <c r="FH35" s="352"/>
      <c r="FJ35" s="344">
        <f t="shared" si="128"/>
        <v>0.5</v>
      </c>
      <c r="FK35" s="241">
        <f t="shared" si="129"/>
        <v>1.175</v>
      </c>
      <c r="FL35" s="372"/>
      <c r="FM35" s="230">
        <f t="shared" si="170"/>
        <v>0.44706866594755718</v>
      </c>
      <c r="FN35" s="226">
        <f>DU35</f>
        <v>564.84127899999999</v>
      </c>
      <c r="FO35" s="226">
        <f>EI35</f>
        <v>1263.4329399999999</v>
      </c>
      <c r="FP35" s="222">
        <f>FN35/FO35</f>
        <v>0.44706866594755718</v>
      </c>
      <c r="FQ35" s="238">
        <f t="shared" si="130"/>
        <v>564.84127899999999</v>
      </c>
      <c r="FR35" s="241">
        <f t="shared" si="131"/>
        <v>0</v>
      </c>
      <c r="FS35" s="242">
        <f t="shared" si="171"/>
        <v>698.59166099999993</v>
      </c>
      <c r="FT35" s="248">
        <f t="shared" si="172"/>
        <v>0</v>
      </c>
      <c r="FU35" s="224">
        <f t="shared" si="95"/>
        <v>17.5</v>
      </c>
      <c r="FV35" s="219">
        <f t="shared" si="132"/>
        <v>21.150000000000002</v>
      </c>
      <c r="FW35" s="224">
        <f t="shared" si="96"/>
        <v>3.6500000000000021</v>
      </c>
      <c r="FX35" s="373"/>
      <c r="FY35" s="373"/>
      <c r="FZ35" s="224">
        <f t="shared" si="99"/>
        <v>17.5</v>
      </c>
      <c r="GA35" s="373"/>
      <c r="GC35" s="161">
        <f t="shared" si="133"/>
        <v>15.69066559142683</v>
      </c>
      <c r="GE35" s="259">
        <f t="shared" si="134"/>
        <v>0</v>
      </c>
      <c r="GG35" s="305">
        <f t="shared" si="135"/>
        <v>2334.1781978570243</v>
      </c>
      <c r="GH35" s="305">
        <f t="shared" si="136"/>
        <v>18289.292464739126</v>
      </c>
      <c r="GI35" s="305">
        <f t="shared" si="137"/>
        <v>1167.0890989285122</v>
      </c>
      <c r="GJ35" s="305">
        <f t="shared" si="138"/>
        <v>1167.0890989285119</v>
      </c>
      <c r="GK35" s="305">
        <f t="shared" si="139"/>
        <v>7.2478490515896785E-3</v>
      </c>
      <c r="GL35" s="305">
        <f t="shared" si="15"/>
        <v>7.2478490515896785E-3</v>
      </c>
      <c r="GM35" s="305">
        <f t="shared" si="140"/>
        <v>38.490692183503647</v>
      </c>
      <c r="GN35" s="305">
        <f t="shared" si="141"/>
        <v>77.446609248560989</v>
      </c>
      <c r="GO35" s="306">
        <f t="shared" si="16"/>
        <v>6.3812698122609354E-2</v>
      </c>
      <c r="GQ35" s="305">
        <f t="shared" si="142"/>
        <v>3557.0118570174286</v>
      </c>
      <c r="GR35" s="305">
        <f t="shared" si="143"/>
        <v>2084.8906027602357</v>
      </c>
      <c r="GS35" s="305">
        <f t="shared" si="144"/>
        <v>1778.5059285087143</v>
      </c>
      <c r="GT35" s="305">
        <f t="shared" si="145"/>
        <v>1778.5059285087143</v>
      </c>
      <c r="GU35" s="305">
        <f t="shared" si="146"/>
        <v>1778.5059285087143</v>
      </c>
      <c r="GV35" s="307">
        <f t="shared" si="147"/>
        <v>1.1112703645172665E-2</v>
      </c>
      <c r="GW35" s="307">
        <f t="shared" si="148"/>
        <v>1.1112703645172665E-2</v>
      </c>
      <c r="GX35" s="305">
        <f t="shared" si="149"/>
        <v>1.1112703645172665E-2</v>
      </c>
      <c r="GY35" s="305">
        <f t="shared" si="150"/>
        <v>55.477839519976428</v>
      </c>
      <c r="GZ35" s="305">
        <f t="shared" si="151"/>
        <v>55.477839519976428</v>
      </c>
      <c r="HA35" s="305">
        <f t="shared" si="152"/>
        <v>46.436338347785771</v>
      </c>
      <c r="HB35" s="305">
        <f t="shared" si="17"/>
        <v>19.415087041495514</v>
      </c>
      <c r="HC35" s="305">
        <f t="shared" si="18"/>
        <v>19.415087041495514</v>
      </c>
      <c r="HD35" s="529">
        <f t="shared" si="153"/>
        <v>1675.0755144910545</v>
      </c>
      <c r="HE35" s="57">
        <f t="shared" si="7"/>
        <v>564.84127899999999</v>
      </c>
      <c r="HF35" s="57">
        <f t="shared" si="154"/>
        <v>1675.0755144910545</v>
      </c>
      <c r="HG35" s="525">
        <f t="shared" si="9"/>
        <v>17.5</v>
      </c>
      <c r="HH35" s="57">
        <f t="shared" si="10"/>
        <v>17.5</v>
      </c>
      <c r="HI35" s="503">
        <f t="shared" si="75"/>
        <v>1675.0755144910545</v>
      </c>
      <c r="HJ35" s="2">
        <f t="shared" si="90"/>
        <v>1</v>
      </c>
      <c r="HK35" s="503">
        <f t="shared" si="76"/>
        <v>1675.0755144910545</v>
      </c>
      <c r="HL35" s="344">
        <f t="shared" si="155"/>
        <v>0.5</v>
      </c>
      <c r="HM35" s="241">
        <f t="shared" si="156"/>
        <v>1.175</v>
      </c>
      <c r="HN35" s="372"/>
      <c r="HO35" s="230">
        <f t="shared" si="173"/>
        <v>0.44706866594755718</v>
      </c>
      <c r="HP35" s="226">
        <f t="shared" si="157"/>
        <v>564.84127899999999</v>
      </c>
      <c r="HQ35" s="226">
        <f t="shared" si="80"/>
        <v>1263.4329399999999</v>
      </c>
      <c r="HR35" s="222">
        <f>HP35/HQ35</f>
        <v>0.44706866594755718</v>
      </c>
      <c r="HS35" s="251">
        <f t="shared" si="11"/>
        <v>564.84127899999999</v>
      </c>
      <c r="HT35" s="241">
        <f t="shared" si="158"/>
        <v>0</v>
      </c>
      <c r="HU35" s="242">
        <f t="shared" si="174"/>
        <v>698.59166099999993</v>
      </c>
      <c r="HV35" s="248">
        <f t="shared" si="175"/>
        <v>0</v>
      </c>
      <c r="HW35" s="224">
        <f t="shared" si="12"/>
        <v>17.5</v>
      </c>
      <c r="HX35" s="219">
        <f t="shared" si="159"/>
        <v>21.150000000000002</v>
      </c>
      <c r="HY35" s="224">
        <f t="shared" si="160"/>
        <v>3.6500000000000021</v>
      </c>
      <c r="HZ35" s="373"/>
      <c r="IA35" s="373"/>
      <c r="IB35" s="224">
        <f t="shared" si="161"/>
        <v>17.5</v>
      </c>
      <c r="IC35" s="373"/>
      <c r="IE35" s="161">
        <f t="shared" si="162"/>
        <v>15.69066559142683</v>
      </c>
      <c r="IG35" s="259" t="e">
        <f t="shared" si="163"/>
        <v>#DIV/0!</v>
      </c>
      <c r="II35" s="305">
        <f t="shared" si="164"/>
        <v>2334.1781978570243</v>
      </c>
      <c r="IJ35" s="305">
        <f t="shared" si="165"/>
        <v>18289.292464739126</v>
      </c>
    </row>
    <row r="36" spans="2:244" ht="15" customHeight="1" x14ac:dyDescent="0.25">
      <c r="B36" s="195">
        <f>IF($AL$5=1,$C36/10,IF($AL$5=2,$C36/10,IF($AL$5=3,0.75,IF($AL$5=4,$C36/10,))))</f>
        <v>0.7</v>
      </c>
      <c r="C36" s="336">
        <v>7</v>
      </c>
      <c r="D36" s="329">
        <f t="shared" si="104"/>
        <v>-828.84789071449211</v>
      </c>
      <c r="E36" s="30">
        <f t="shared" si="105"/>
        <v>-71</v>
      </c>
      <c r="F36" s="330" t="e">
        <f t="shared" si="106"/>
        <v>#NUM!</v>
      </c>
      <c r="G36" s="329">
        <f t="shared" si="107"/>
        <v>-168.87699058900006</v>
      </c>
      <c r="H36" s="32">
        <f t="shared" si="108"/>
        <v>-168.87699058900006</v>
      </c>
      <c r="I36" s="30">
        <f>IF(Geg_dP&lt;AB36,ROUND(((IF('Briza 22 &amp; 26'!$M$4="High Perform. 208/230V (US/EU)",cal!HK36,H36)/Watts)/((Tr_cool-Tv_cool)*1.163))*FlowH2O,IF(UnitsNo=1,0,IF(UnitsNo=2,2))),"")</f>
        <v>-73</v>
      </c>
      <c r="J36" s="330" t="e">
        <f t="shared" si="109"/>
        <v>#NUM!</v>
      </c>
      <c r="K36" s="333">
        <f t="shared" si="110"/>
        <v>0</v>
      </c>
      <c r="L36" s="297">
        <f>IF(Geg_dP&lt;$AB36,0,"")</f>
        <v>0</v>
      </c>
      <c r="M36" s="198">
        <f t="shared" si="111"/>
        <v>0</v>
      </c>
      <c r="N36" s="197">
        <f t="shared" si="112"/>
        <v>0</v>
      </c>
      <c r="O36" s="480">
        <f t="shared" si="113"/>
        <v>0</v>
      </c>
      <c r="P36" s="198" t="e">
        <f t="shared" si="114"/>
        <v>#DIV/0!</v>
      </c>
      <c r="Q36" s="297" t="e">
        <f t="shared" si="115"/>
        <v>#DIV/0!</v>
      </c>
      <c r="R36" s="509" t="e">
        <f t="shared" si="116"/>
        <v>#DIV/0!</v>
      </c>
      <c r="S36" s="36" t="e">
        <f t="shared" si="117"/>
        <v>#DIV/0!</v>
      </c>
      <c r="T36" s="300" t="e">
        <f t="shared" si="118"/>
        <v>#DIV/0!</v>
      </c>
      <c r="U36" s="416">
        <f t="shared" si="119"/>
        <v>0</v>
      </c>
      <c r="V36" s="483" t="e">
        <f t="shared" si="120"/>
        <v>#DIV/0!</v>
      </c>
      <c r="W36" s="513" t="e">
        <f t="shared" si="121"/>
        <v>#DIV/0!</v>
      </c>
      <c r="X36" s="56">
        <f t="shared" si="1"/>
        <v>1.0306200000000001</v>
      </c>
      <c r="Y36" s="56">
        <f t="shared" si="166"/>
        <v>1.073</v>
      </c>
      <c r="Z36" s="56">
        <f t="shared" si="167"/>
        <v>1.14154</v>
      </c>
      <c r="AA36" s="56">
        <f t="shared" si="13"/>
        <v>1.0306200000000001</v>
      </c>
      <c r="AB36" s="56">
        <f t="shared" si="14"/>
        <v>74.17</v>
      </c>
      <c r="AC36" s="95">
        <v>1.0306200000000001</v>
      </c>
      <c r="AD36" s="95">
        <v>1.073</v>
      </c>
      <c r="AE36" s="95">
        <v>1.14154</v>
      </c>
      <c r="AF36" s="96">
        <f>AF35+((AF37-AF35)/2)</f>
        <v>51.5</v>
      </c>
      <c r="AG36" s="95">
        <v>1.0306200000000001</v>
      </c>
      <c r="AH36" s="95">
        <v>1.073</v>
      </c>
      <c r="AI36" s="95">
        <v>1.14154</v>
      </c>
      <c r="AJ36" s="486">
        <f>AJ35+((AJ37-AJ35)/2)</f>
        <v>81</v>
      </c>
      <c r="AK36" s="487">
        <v>1.0306200000000001</v>
      </c>
      <c r="AL36" s="487">
        <v>1.073</v>
      </c>
      <c r="AM36" s="487">
        <v>1.14154</v>
      </c>
      <c r="AN36" s="486">
        <f>AN35+((AN37-AN35)/2)</f>
        <v>74.17</v>
      </c>
      <c r="AO36" s="487">
        <v>1.0127469901095905</v>
      </c>
      <c r="AP36" s="487">
        <v>1.4118789851268314</v>
      </c>
      <c r="AQ36" s="487">
        <v>1.1240022585776352</v>
      </c>
      <c r="AR36" s="486">
        <v>184</v>
      </c>
      <c r="AS36" s="488"/>
      <c r="AT36" s="488"/>
      <c r="AU36" s="488"/>
      <c r="AV36" s="488">
        <v>1000</v>
      </c>
      <c r="AW36" s="488"/>
      <c r="AX36" s="488"/>
      <c r="AY36" s="488"/>
      <c r="AZ36" s="488">
        <v>1000</v>
      </c>
      <c r="BA36" s="97"/>
      <c r="BB36" s="97"/>
      <c r="BC36" s="97"/>
      <c r="BD36" s="97">
        <v>1000</v>
      </c>
      <c r="BE36" s="97"/>
      <c r="BF36" s="97"/>
      <c r="BG36" s="97"/>
      <c r="BH36" s="97">
        <v>1000</v>
      </c>
      <c r="BJ36" s="182"/>
      <c r="BK36" s="252"/>
      <c r="BL36" s="253"/>
      <c r="BM36" s="253"/>
      <c r="BN36" s="252"/>
      <c r="BO36" s="253"/>
      <c r="BP36" s="254"/>
      <c r="BQ36" s="252"/>
      <c r="BR36" s="253"/>
      <c r="BS36" s="254"/>
      <c r="BT36" s="252"/>
      <c r="BU36" s="253"/>
      <c r="BV36" s="254"/>
      <c r="BW36" s="252"/>
      <c r="BX36" s="253"/>
      <c r="BY36" s="254"/>
      <c r="BZ36" s="131">
        <f t="shared" si="123"/>
        <v>0</v>
      </c>
      <c r="CA36" s="132">
        <f t="shared" si="123"/>
        <v>0</v>
      </c>
      <c r="CB36" s="132">
        <f t="shared" si="168"/>
        <v>0</v>
      </c>
      <c r="CC36" s="132">
        <f t="shared" si="168"/>
        <v>0</v>
      </c>
      <c r="CD36" s="132">
        <f t="shared" si="168"/>
        <v>0</v>
      </c>
      <c r="CE36" s="133">
        <f t="shared" si="168"/>
        <v>0</v>
      </c>
      <c r="CF36" s="131">
        <f t="shared" si="168"/>
        <v>0</v>
      </c>
      <c r="CG36" s="132">
        <f t="shared" si="168"/>
        <v>0</v>
      </c>
      <c r="CH36" s="132">
        <f t="shared" si="168"/>
        <v>0</v>
      </c>
      <c r="CI36" s="132">
        <f t="shared" si="168"/>
        <v>0</v>
      </c>
      <c r="CJ36" s="132">
        <f t="shared" si="168"/>
        <v>0</v>
      </c>
      <c r="CK36" s="131">
        <f t="shared" si="168"/>
        <v>0</v>
      </c>
      <c r="CL36" s="132">
        <f t="shared" si="168"/>
        <v>0</v>
      </c>
      <c r="CM36" s="133">
        <f t="shared" si="168"/>
        <v>0</v>
      </c>
      <c r="CN36" s="384"/>
      <c r="CO36" s="380"/>
      <c r="CP36" s="380"/>
      <c r="CQ36" s="380"/>
      <c r="CR36" s="380"/>
      <c r="CS36" s="381"/>
      <c r="CT36" s="384"/>
      <c r="CU36" s="380"/>
      <c r="CV36" s="380"/>
      <c r="CW36" s="380"/>
      <c r="CX36" s="381"/>
      <c r="CY36" s="380"/>
      <c r="CZ36" s="380"/>
      <c r="DA36" s="427"/>
      <c r="DB36" s="384"/>
      <c r="DC36" s="380"/>
      <c r="DD36" s="380"/>
      <c r="DE36" s="380"/>
      <c r="DF36" s="380"/>
      <c r="DG36" s="381"/>
      <c r="DH36" s="384"/>
      <c r="DI36" s="380"/>
      <c r="DJ36" s="380"/>
      <c r="DK36" s="380"/>
      <c r="DL36" s="381"/>
      <c r="DM36" s="380"/>
      <c r="DN36" s="380"/>
      <c r="DO36" s="427"/>
      <c r="DP36" s="426"/>
      <c r="DQ36" s="380"/>
      <c r="DR36" s="380"/>
      <c r="DS36" s="380"/>
      <c r="DT36" s="380"/>
      <c r="DU36" s="381"/>
      <c r="DV36" s="375"/>
      <c r="DW36" s="382"/>
      <c r="DX36" s="382"/>
      <c r="DY36" s="382"/>
      <c r="DZ36" s="383"/>
      <c r="EA36" s="380"/>
      <c r="EB36" s="380"/>
      <c r="EC36" s="427"/>
      <c r="ED36" s="424"/>
      <c r="EE36" s="113">
        <v>-1.4101434999999999E-7</v>
      </c>
      <c r="EF36" s="113">
        <v>-6.2077974000000007E-5</v>
      </c>
      <c r="EG36" s="113">
        <v>-1.1131432000000001E-3</v>
      </c>
      <c r="EH36" s="113">
        <v>-4.26174345</v>
      </c>
      <c r="EI36" s="116">
        <v>1372.2292</v>
      </c>
      <c r="EJ36" s="378"/>
      <c r="EK36" s="115">
        <v>-6.2908538500000004E-8</v>
      </c>
      <c r="EL36" s="113">
        <v>1.3308369300000001E-4</v>
      </c>
      <c r="EM36" s="113">
        <v>8.2110670000000007E-3</v>
      </c>
      <c r="EN36" s="116">
        <v>47.859988199999997</v>
      </c>
      <c r="EO36" s="395">
        <v>-1.3224432E-4</v>
      </c>
      <c r="EP36" s="395">
        <v>4.1160282999999999E-2</v>
      </c>
      <c r="EQ36" s="433">
        <v>1783.04781</v>
      </c>
      <c r="ER36" s="444"/>
      <c r="ES36" s="441"/>
      <c r="ET36" s="443"/>
      <c r="EU36" s="441"/>
      <c r="EV36" s="443"/>
      <c r="EW36" s="441"/>
      <c r="EX36" s="441"/>
      <c r="EY36" s="442"/>
      <c r="EZ36" s="137">
        <f t="shared" si="125"/>
        <v>17</v>
      </c>
      <c r="FA36" s="143">
        <f>((FA37-FA35)/2)+FA35</f>
        <v>17</v>
      </c>
      <c r="FB36" s="143">
        <f t="shared" si="126"/>
        <v>17</v>
      </c>
      <c r="FC36" s="143">
        <f t="shared" si="127"/>
        <v>17</v>
      </c>
      <c r="FD36" s="143">
        <f t="shared" si="169"/>
        <v>17</v>
      </c>
      <c r="FE36" s="350"/>
      <c r="FF36" s="351"/>
      <c r="FG36" s="351"/>
      <c r="FH36" s="352"/>
      <c r="FJ36" s="344">
        <f t="shared" si="128"/>
        <v>0</v>
      </c>
      <c r="FK36" s="241">
        <f t="shared" si="129"/>
        <v>1.175</v>
      </c>
      <c r="FL36" s="372"/>
      <c r="FM36" s="230">
        <f t="shared" si="170"/>
        <v>0</v>
      </c>
      <c r="FN36" s="226">
        <f>((FN37-FN35)/2)+FN35</f>
        <v>635.86461450000002</v>
      </c>
      <c r="FO36" s="226">
        <f>((FO37-FO35)/2)+FO35</f>
        <v>1368.0337949999998</v>
      </c>
      <c r="FP36" s="222">
        <f>FN36/FO36</f>
        <v>0.46480183225298183</v>
      </c>
      <c r="FQ36" s="238">
        <f t="shared" si="130"/>
        <v>0</v>
      </c>
      <c r="FR36" s="241">
        <f t="shared" si="131"/>
        <v>0</v>
      </c>
      <c r="FS36" s="242">
        <f t="shared" si="171"/>
        <v>732.1691804999997</v>
      </c>
      <c r="FT36" s="248">
        <f t="shared" si="172"/>
        <v>0</v>
      </c>
      <c r="FU36" s="224">
        <f t="shared" si="95"/>
        <v>17</v>
      </c>
      <c r="FV36" s="219">
        <f t="shared" si="132"/>
        <v>21.150000000000002</v>
      </c>
      <c r="FW36" s="224">
        <f t="shared" si="96"/>
        <v>4.1500000000000021</v>
      </c>
      <c r="FX36" s="373"/>
      <c r="FY36" s="373"/>
      <c r="FZ36" s="224">
        <f t="shared" si="99"/>
        <v>17</v>
      </c>
      <c r="GA36" s="373"/>
      <c r="GC36" s="161">
        <f t="shared" si="133"/>
        <v>15.69066559142683</v>
      </c>
      <c r="GE36" s="259">
        <f t="shared" si="134"/>
        <v>0</v>
      </c>
      <c r="GG36" s="305">
        <f t="shared" si="135"/>
        <v>2334.1781978570243</v>
      </c>
      <c r="GH36" s="305" t="e">
        <f t="shared" si="136"/>
        <v>#DIV/0!</v>
      </c>
      <c r="GI36" s="305">
        <f t="shared" si="137"/>
        <v>1167.0890989285122</v>
      </c>
      <c r="GJ36" s="305">
        <f t="shared" si="138"/>
        <v>1167.0890989285119</v>
      </c>
      <c r="GK36" s="305">
        <f t="shared" si="139"/>
        <v>7.2478490515896785E-3</v>
      </c>
      <c r="GL36" s="305">
        <f t="shared" si="15"/>
        <v>7.2478490515896785E-3</v>
      </c>
      <c r="GM36" s="305">
        <f t="shared" si="140"/>
        <v>38.490692183503647</v>
      </c>
      <c r="GN36" s="305" t="e">
        <f t="shared" si="141"/>
        <v>#DIV/0!</v>
      </c>
      <c r="GO36" s="306" t="e">
        <f t="shared" si="16"/>
        <v>#DIV/0!</v>
      </c>
      <c r="GQ36" s="305">
        <f t="shared" si="142"/>
        <v>3557.0118570174286</v>
      </c>
      <c r="GR36" s="305" t="e">
        <f t="shared" si="143"/>
        <v>#DIV/0!</v>
      </c>
      <c r="GS36" s="305">
        <f t="shared" si="144"/>
        <v>1778.5059285087143</v>
      </c>
      <c r="GT36" s="305">
        <f t="shared" si="145"/>
        <v>1778.5059285087143</v>
      </c>
      <c r="GU36" s="305" t="e">
        <f t="shared" si="146"/>
        <v>#DIV/0!</v>
      </c>
      <c r="GV36" s="307">
        <f t="shared" si="147"/>
        <v>1.1112703645172665E-2</v>
      </c>
      <c r="GW36" s="307">
        <f t="shared" si="148"/>
        <v>1.1112703645172665E-2</v>
      </c>
      <c r="GX36" s="305" t="e">
        <f t="shared" si="149"/>
        <v>#DIV/0!</v>
      </c>
      <c r="GY36" s="305">
        <f t="shared" si="150"/>
        <v>55.477839519976428</v>
      </c>
      <c r="GZ36" s="305" t="e">
        <f t="shared" si="151"/>
        <v>#DIV/0!</v>
      </c>
      <c r="HA36" s="305" t="e">
        <f t="shared" si="152"/>
        <v>#DIV/0!</v>
      </c>
      <c r="HB36" s="305">
        <f t="shared" si="17"/>
        <v>19.415087041495514</v>
      </c>
      <c r="HC36" s="305" t="e">
        <f t="shared" si="18"/>
        <v>#DIV/0!</v>
      </c>
      <c r="HD36" s="529">
        <f t="shared" si="153"/>
        <v>-168.87699058900006</v>
      </c>
      <c r="HE36" s="57">
        <f t="shared" si="7"/>
        <v>0</v>
      </c>
      <c r="HF36" s="57">
        <f t="shared" si="154"/>
        <v>-168.87699058900006</v>
      </c>
      <c r="HG36" s="525">
        <f t="shared" si="9"/>
        <v>17</v>
      </c>
      <c r="HH36" s="57">
        <f t="shared" si="10"/>
        <v>17</v>
      </c>
      <c r="HI36" s="503">
        <f t="shared" si="75"/>
        <v>-168.87699058900006</v>
      </c>
      <c r="HJ36" s="2">
        <f t="shared" si="90"/>
        <v>1</v>
      </c>
      <c r="HK36" s="503">
        <f t="shared" si="76"/>
        <v>-168.87699058900006</v>
      </c>
      <c r="HL36" s="344">
        <f t="shared" si="155"/>
        <v>0</v>
      </c>
      <c r="HM36" s="241">
        <f t="shared" si="156"/>
        <v>1.175</v>
      </c>
      <c r="HN36" s="372"/>
      <c r="HO36" s="230">
        <f t="shared" si="173"/>
        <v>0</v>
      </c>
      <c r="HP36" s="226">
        <f>((FN37-FN35)/2)+HP35</f>
        <v>635.86461450000002</v>
      </c>
      <c r="HQ36" s="226">
        <f t="shared" si="80"/>
        <v>1372.2292</v>
      </c>
      <c r="HR36" s="222">
        <f>HP36/HQ36</f>
        <v>0.46338076357797953</v>
      </c>
      <c r="HS36" s="251">
        <f t="shared" si="11"/>
        <v>0</v>
      </c>
      <c r="HT36" s="241">
        <f t="shared" si="158"/>
        <v>0</v>
      </c>
      <c r="HU36" s="242">
        <f t="shared" si="174"/>
        <v>736.36458549999998</v>
      </c>
      <c r="HV36" s="248">
        <f t="shared" si="175"/>
        <v>0</v>
      </c>
      <c r="HW36" s="224">
        <f t="shared" si="12"/>
        <v>17</v>
      </c>
      <c r="HX36" s="219">
        <f t="shared" si="159"/>
        <v>21.150000000000002</v>
      </c>
      <c r="HY36" s="224">
        <f t="shared" si="160"/>
        <v>4.1500000000000021</v>
      </c>
      <c r="HZ36" s="373"/>
      <c r="IA36" s="373"/>
      <c r="IB36" s="224">
        <f t="shared" si="161"/>
        <v>17</v>
      </c>
      <c r="IC36" s="373"/>
      <c r="IE36" s="161">
        <f t="shared" si="162"/>
        <v>15.69066559142683</v>
      </c>
      <c r="IG36" s="259" t="e">
        <f t="shared" si="163"/>
        <v>#DIV/0!</v>
      </c>
      <c r="II36" s="305">
        <f t="shared" si="164"/>
        <v>2334.1781978570243</v>
      </c>
      <c r="IJ36" s="305" t="e">
        <f t="shared" si="165"/>
        <v>#DIV/0!</v>
      </c>
    </row>
    <row r="37" spans="2:244" ht="15" customHeight="1" x14ac:dyDescent="0.25">
      <c r="B37" s="195">
        <f>IF($AL$5=1,$C37/10,IF($AL$5=2,$C37/10,IF($AL$5=3,1,IF($AL$5=4,$C37/10,))))</f>
        <v>0.8</v>
      </c>
      <c r="C37" s="336">
        <v>8</v>
      </c>
      <c r="D37" s="329">
        <f t="shared" si="104"/>
        <v>8836.6243782894217</v>
      </c>
      <c r="E37" s="30">
        <f t="shared" si="105"/>
        <v>760</v>
      </c>
      <c r="F37" s="330">
        <f t="shared" si="106"/>
        <v>16.339757574578403</v>
      </c>
      <c r="G37" s="329">
        <f t="shared" si="107"/>
        <v>1999.8646552383141</v>
      </c>
      <c r="H37" s="32">
        <f t="shared" si="108"/>
        <v>1999.8646552383141</v>
      </c>
      <c r="I37" s="30">
        <f>IF(Geg_dP&lt;AB37,ROUND(((IF('Briza 22 &amp; 26'!$M$4="High Perform. 208/230V (US/EU)",cal!HK37,H37)/Watts)/((Tr_cool-Tv_cool)*1.163))*FlowH2O,IF(UnitsNo=1,0,IF(UnitsNo=2,2))),"")</f>
        <v>860</v>
      </c>
      <c r="J37" s="330">
        <f t="shared" si="109"/>
        <v>20.488707609949881</v>
      </c>
      <c r="K37" s="333">
        <f t="shared" si="110"/>
        <v>42.5</v>
      </c>
      <c r="L37" s="297">
        <f>IF(Geg_dP&lt;$AB37,IF(CalcNo="12",$ET37,IF(CalcNo="22",$ET37,IF(CalcNo="13",$EU37,IF(CalcNo="23",$EU37,IF(CalcNo="11",$ER37,IF(CalcNo="21",$ER37,IF(CalcNo="14",$ES37,IF(CalcNo="24",$ES37,IF(CalcNo="32",$EX37,IF(CalcNo="42",$EX37,IF(CalcNo="33",$EY37,IF(CalcNo="43",$EY37,IF(CalcNo="31",$EV37,IF(CalcNo="41",$EV37,IF(CalcNo="34",$EW37,IF(CalcNo="44",$EW37,)))))))))))))))),"")</f>
        <v>50.5</v>
      </c>
      <c r="M37" s="198">
        <f t="shared" si="111"/>
        <v>35.896108086935484</v>
      </c>
      <c r="N37" s="197">
        <f t="shared" si="112"/>
        <v>706.88795000000005</v>
      </c>
      <c r="O37" s="480">
        <f t="shared" si="113"/>
        <v>0.93951083200425312</v>
      </c>
      <c r="P37" s="198">
        <f t="shared" si="114"/>
        <v>56.69370831153303</v>
      </c>
      <c r="Q37" s="297">
        <f t="shared" si="115"/>
        <v>25.008385627279914</v>
      </c>
      <c r="R37" s="509">
        <f t="shared" si="116"/>
        <v>18.591315464905676</v>
      </c>
      <c r="S37" s="36">
        <f t="shared" si="117"/>
        <v>16.661875971188984</v>
      </c>
      <c r="T37" s="300">
        <f t="shared" si="118"/>
        <v>0.83166129103078035</v>
      </c>
      <c r="U37" s="416">
        <f t="shared" si="119"/>
        <v>947.48054821301059</v>
      </c>
      <c r="V37" s="483">
        <f t="shared" si="120"/>
        <v>0.18280972127614814</v>
      </c>
      <c r="W37" s="513">
        <f t="shared" si="121"/>
        <v>2.8291112548152983</v>
      </c>
      <c r="X37" s="56">
        <f t="shared" si="1"/>
        <v>1.0306200000000001</v>
      </c>
      <c r="Y37" s="56">
        <f t="shared" si="166"/>
        <v>1.073</v>
      </c>
      <c r="Z37" s="56">
        <f t="shared" si="167"/>
        <v>1.14154</v>
      </c>
      <c r="AA37" s="56">
        <f t="shared" si="13"/>
        <v>1.0306200000000001</v>
      </c>
      <c r="AB37" s="56">
        <f t="shared" si="14"/>
        <v>90.8</v>
      </c>
      <c r="AC37" s="95">
        <v>1.0306200000000001</v>
      </c>
      <c r="AD37" s="95">
        <v>1.073</v>
      </c>
      <c r="AE37" s="95">
        <v>1.14154</v>
      </c>
      <c r="AF37" s="96">
        <v>65</v>
      </c>
      <c r="AG37" s="95">
        <v>1.0306200000000001</v>
      </c>
      <c r="AH37" s="95">
        <v>1.073</v>
      </c>
      <c r="AI37" s="95">
        <v>1.14154</v>
      </c>
      <c r="AJ37" s="486">
        <v>102</v>
      </c>
      <c r="AK37" s="487">
        <v>1.0306200000000001</v>
      </c>
      <c r="AL37" s="487">
        <v>1.073</v>
      </c>
      <c r="AM37" s="487">
        <v>1.14154</v>
      </c>
      <c r="AN37" s="486">
        <v>90.8</v>
      </c>
      <c r="AO37" s="487">
        <v>1.0127469901095905</v>
      </c>
      <c r="AP37" s="487">
        <v>1.4118789851268314</v>
      </c>
      <c r="AQ37" s="487">
        <v>1.1240022585776352</v>
      </c>
      <c r="AR37" s="486">
        <v>213.4</v>
      </c>
      <c r="AS37" s="488"/>
      <c r="AT37" s="488"/>
      <c r="AU37" s="488"/>
      <c r="AV37" s="488">
        <v>1000</v>
      </c>
      <c r="AW37" s="488"/>
      <c r="AX37" s="488"/>
      <c r="AY37" s="488"/>
      <c r="AZ37" s="488">
        <v>1000</v>
      </c>
      <c r="BA37" s="97"/>
      <c r="BB37" s="97"/>
      <c r="BC37" s="97"/>
      <c r="BD37" s="97">
        <v>1000</v>
      </c>
      <c r="BE37" s="97"/>
      <c r="BF37" s="97"/>
      <c r="BG37" s="97"/>
      <c r="BH37" s="97">
        <v>1000</v>
      </c>
      <c r="BJ37" s="182"/>
      <c r="BK37" s="82">
        <f t="shared" ref="BK37:BM38" si="176">IF($BK$17="11",BN37,IF($BK$17="21",BQ37,IF($BK$17="12",BN37,IF($BK$17="22",BQ37,IF($BK$17="13",BN37,IF($BK$17="23",BQ37,IF($BK$17="14",BN37,IF($BK$17="24",BQ37,IF($BK$17="31",BT37,IF($BK$17="41",BW37,IF($BK$17="32",BT37,IF($BK$17="42",BW37,IF($BK$17="33",BT37,IF($BK$17="43",BW37,IF($BK$17="34",BT37,IF($BK$17="44",BW37,))))))))))))))))</f>
        <v>9.8338849499999998</v>
      </c>
      <c r="BL37" s="83">
        <f t="shared" si="176"/>
        <v>7.34809176</v>
      </c>
      <c r="BM37" s="83">
        <f t="shared" si="176"/>
        <v>8.7092260316846474E-5</v>
      </c>
      <c r="BN37" s="103">
        <v>9.8338849499999998</v>
      </c>
      <c r="BO37" s="104">
        <v>7.34809176</v>
      </c>
      <c r="BP37" s="105">
        <v>8.7092260316846474E-5</v>
      </c>
      <c r="BQ37" s="103">
        <v>4.4091903800000001</v>
      </c>
      <c r="BR37" s="104">
        <f>BO37</f>
        <v>7.34809176</v>
      </c>
      <c r="BS37" s="105">
        <f>+BP37</f>
        <v>8.7092260316846474E-5</v>
      </c>
      <c r="BT37" s="97">
        <v>0</v>
      </c>
      <c r="BU37" s="97">
        <v>0</v>
      </c>
      <c r="BV37" s="97">
        <v>0</v>
      </c>
      <c r="BW37" s="97">
        <v>0</v>
      </c>
      <c r="BX37" s="97">
        <v>0</v>
      </c>
      <c r="BY37" s="97">
        <v>0</v>
      </c>
      <c r="BZ37" s="131">
        <f t="shared" si="123"/>
        <v>0</v>
      </c>
      <c r="CA37" s="132">
        <f t="shared" si="123"/>
        <v>-6.8508316E-6</v>
      </c>
      <c r="CB37" s="132">
        <f t="shared" si="168"/>
        <v>1.3488571699999999E-3</v>
      </c>
      <c r="CC37" s="132">
        <f t="shared" si="168"/>
        <v>-9.8218128599999996E-2</v>
      </c>
      <c r="CD37" s="132">
        <f t="shared" si="168"/>
        <v>-4.5859543900000004</v>
      </c>
      <c r="CE37" s="133">
        <f t="shared" si="168"/>
        <v>706.88795000000005</v>
      </c>
      <c r="CF37" s="131">
        <f t="shared" si="168"/>
        <v>0</v>
      </c>
      <c r="CG37" s="132">
        <f t="shared" si="168"/>
        <v>-4.4907350399999999E-8</v>
      </c>
      <c r="CH37" s="132">
        <f t="shared" si="168"/>
        <v>5.6690644999999999E-5</v>
      </c>
      <c r="CI37" s="132">
        <f t="shared" si="168"/>
        <v>9.2757389900000008E-3</v>
      </c>
      <c r="CJ37" s="132">
        <f t="shared" si="168"/>
        <v>16.873828899999999</v>
      </c>
      <c r="CK37" s="131">
        <f t="shared" si="168"/>
        <v>-9.8017415900000007E-5</v>
      </c>
      <c r="CL37" s="132">
        <f t="shared" si="168"/>
        <v>-0.43488011500000001</v>
      </c>
      <c r="CM37" s="133">
        <f t="shared" si="168"/>
        <v>1303.8704399999999</v>
      </c>
      <c r="CN37" s="357"/>
      <c r="CO37" s="113">
        <v>1.7978427600000001E-6</v>
      </c>
      <c r="CP37" s="113">
        <v>-9.0791629600000002E-5</v>
      </c>
      <c r="CQ37" s="113">
        <v>-2.57030455E-2</v>
      </c>
      <c r="CR37" s="113">
        <v>-7.54374666</v>
      </c>
      <c r="CS37" s="116">
        <v>590.36035000000004</v>
      </c>
      <c r="CT37" s="357"/>
      <c r="CU37" s="115">
        <v>-6.7434257400000006E-8</v>
      </c>
      <c r="CV37" s="113">
        <v>7.5209238199999999E-5</v>
      </c>
      <c r="CW37" s="113">
        <v>2.5092324899999999E-3</v>
      </c>
      <c r="CX37" s="116">
        <v>12.028917</v>
      </c>
      <c r="CY37" s="113">
        <v>-1.09199772E-4</v>
      </c>
      <c r="CZ37" s="113">
        <v>-0.185729009</v>
      </c>
      <c r="DA37" s="423">
        <v>1085.6818800000001</v>
      </c>
      <c r="DB37" s="357"/>
      <c r="DC37" s="113">
        <v>-2.63676133E-6</v>
      </c>
      <c r="DD37" s="113">
        <v>7.0039459100000004E-4</v>
      </c>
      <c r="DE37" s="113">
        <v>-8.1342813200000003E-2</v>
      </c>
      <c r="DF37" s="113">
        <v>-4.7907210899999999</v>
      </c>
      <c r="DG37" s="116">
        <v>886.03663700000004</v>
      </c>
      <c r="DH37" s="357"/>
      <c r="DI37" s="115">
        <v>-3.7358859400000002E-8</v>
      </c>
      <c r="DJ37" s="113">
        <v>5.4095973100000003E-5</v>
      </c>
      <c r="DK37" s="113">
        <v>1.70417803E-2</v>
      </c>
      <c r="DL37" s="116">
        <v>20.039213199999999</v>
      </c>
      <c r="DM37" s="113">
        <v>-1.13402026E-5</v>
      </c>
      <c r="DN37" s="113">
        <v>-0.29692047500000002</v>
      </c>
      <c r="DO37" s="423">
        <v>1367.9312600000001</v>
      </c>
      <c r="DP37" s="422"/>
      <c r="DQ37" s="113">
        <v>-6.8508316E-6</v>
      </c>
      <c r="DR37" s="113">
        <v>1.3488571699999999E-3</v>
      </c>
      <c r="DS37" s="113">
        <v>-9.8218128599999996E-2</v>
      </c>
      <c r="DT37" s="113">
        <v>-4.5859543900000004</v>
      </c>
      <c r="DU37" s="116">
        <v>706.88795000000005</v>
      </c>
      <c r="DV37" s="378"/>
      <c r="DW37" s="126">
        <v>-4.4907350399999999E-8</v>
      </c>
      <c r="DX37" s="120">
        <v>5.6690644999999999E-5</v>
      </c>
      <c r="DY37" s="120">
        <v>9.2757389900000008E-3</v>
      </c>
      <c r="DZ37" s="114">
        <v>16.873828899999999</v>
      </c>
      <c r="EA37" s="113">
        <f xml:space="preserve"> -0.0000980174159</f>
        <v>-9.8017415900000007E-5</v>
      </c>
      <c r="EB37" s="113">
        <v>-0.43488011500000001</v>
      </c>
      <c r="EC37" s="423">
        <v>1303.8704399999999</v>
      </c>
      <c r="ED37" s="434">
        <v>2.8000451400000001E-8</v>
      </c>
      <c r="EE37" s="113">
        <v>-1.28084119E-5</v>
      </c>
      <c r="EF37" s="113">
        <v>1.82357105E-3</v>
      </c>
      <c r="EG37" s="113">
        <v>-0.105351927</v>
      </c>
      <c r="EH37" s="113">
        <v>-1.02217889</v>
      </c>
      <c r="EI37" s="113">
        <v>1472.63465</v>
      </c>
      <c r="EJ37" s="378"/>
      <c r="EK37" s="115">
        <v>-1.03375606E-7</v>
      </c>
      <c r="EL37" s="113">
        <v>2.12519465E-4</v>
      </c>
      <c r="EM37" s="113">
        <v>-1.0958750499999999E-2</v>
      </c>
      <c r="EN37" s="116">
        <v>56.712093699999997</v>
      </c>
      <c r="EO37" s="395">
        <v>-2.5604907399999998E-4</v>
      </c>
      <c r="EP37" s="395">
        <v>0.24937564700000001</v>
      </c>
      <c r="EQ37" s="433">
        <v>1886.7392600000001</v>
      </c>
      <c r="ER37" s="137">
        <v>50.5</v>
      </c>
      <c r="ES37" s="365"/>
      <c r="ET37" s="137">
        <v>50.5</v>
      </c>
      <c r="EU37" s="365"/>
      <c r="EV37" s="137">
        <f>ER37-5</f>
        <v>45.5</v>
      </c>
      <c r="EW37" s="365"/>
      <c r="EX37" s="366"/>
      <c r="EY37" s="367"/>
      <c r="EZ37" s="137">
        <f t="shared" si="125"/>
        <v>17.5</v>
      </c>
      <c r="FA37" s="143">
        <f>Tavg_cold</f>
        <v>17</v>
      </c>
      <c r="FB37" s="143">
        <f t="shared" si="126"/>
        <v>17.5</v>
      </c>
      <c r="FC37" s="143">
        <f t="shared" si="127"/>
        <v>17.5</v>
      </c>
      <c r="FD37" s="143">
        <f t="shared" si="169"/>
        <v>17.5</v>
      </c>
      <c r="FE37" s="350"/>
      <c r="FF37" s="351"/>
      <c r="FG37" s="351"/>
      <c r="FH37" s="352"/>
      <c r="FJ37" s="344">
        <f t="shared" si="128"/>
        <v>0.5</v>
      </c>
      <c r="FK37" s="241">
        <f t="shared" si="129"/>
        <v>1.175</v>
      </c>
      <c r="FL37" s="372"/>
      <c r="FM37" s="230">
        <f t="shared" si="170"/>
        <v>0.48001583420572108</v>
      </c>
      <c r="FN37" s="226">
        <f>DU37</f>
        <v>706.88795000000005</v>
      </c>
      <c r="FO37" s="226">
        <f>EI37</f>
        <v>1472.63465</v>
      </c>
      <c r="FP37" s="222">
        <f>FP38</f>
        <v>0.54969234833636438</v>
      </c>
      <c r="FQ37" s="238">
        <f t="shared" si="130"/>
        <v>706.88795000000005</v>
      </c>
      <c r="FR37" s="241">
        <f t="shared" si="131"/>
        <v>0</v>
      </c>
      <c r="FS37" s="242">
        <f t="shared" si="171"/>
        <v>663.13865099999998</v>
      </c>
      <c r="FT37" s="248">
        <f t="shared" si="172"/>
        <v>0</v>
      </c>
      <c r="FU37" s="224">
        <f t="shared" si="95"/>
        <v>17.5</v>
      </c>
      <c r="FV37" s="219">
        <f t="shared" si="132"/>
        <v>21.150000000000002</v>
      </c>
      <c r="FW37" s="224">
        <f t="shared" si="96"/>
        <v>3.6500000000000021</v>
      </c>
      <c r="FX37" s="373"/>
      <c r="FY37" s="373"/>
      <c r="FZ37" s="224">
        <f t="shared" si="99"/>
        <v>17.5</v>
      </c>
      <c r="GA37" s="373"/>
      <c r="GC37" s="161">
        <f t="shared" si="133"/>
        <v>15.69066559142683</v>
      </c>
      <c r="GE37" s="259">
        <f t="shared" si="134"/>
        <v>0</v>
      </c>
      <c r="GG37" s="305">
        <f t="shared" si="135"/>
        <v>2334.1781978570243</v>
      </c>
      <c r="GH37" s="305">
        <f t="shared" si="136"/>
        <v>16999.113627756229</v>
      </c>
      <c r="GI37" s="305">
        <f t="shared" si="137"/>
        <v>1167.0890989285122</v>
      </c>
      <c r="GJ37" s="305">
        <f t="shared" si="138"/>
        <v>1167.0890989285119</v>
      </c>
      <c r="GK37" s="305">
        <f t="shared" si="139"/>
        <v>7.2478490515896785E-3</v>
      </c>
      <c r="GL37" s="305">
        <f t="shared" si="15"/>
        <v>7.2478490515896785E-3</v>
      </c>
      <c r="GM37" s="305">
        <f t="shared" si="140"/>
        <v>38.490692183503647</v>
      </c>
      <c r="GN37" s="305">
        <f t="shared" si="141"/>
        <v>75.865196394896387</v>
      </c>
      <c r="GO37" s="306">
        <f t="shared" si="16"/>
        <v>6.865587962321068E-2</v>
      </c>
      <c r="GQ37" s="305">
        <f t="shared" si="142"/>
        <v>3557.0118570174286</v>
      </c>
      <c r="GR37" s="305">
        <f t="shared" si="143"/>
        <v>2138.4979049636813</v>
      </c>
      <c r="GS37" s="305">
        <f t="shared" si="144"/>
        <v>1778.5059285087143</v>
      </c>
      <c r="GT37" s="305">
        <f t="shared" si="145"/>
        <v>1778.5059285087143</v>
      </c>
      <c r="GU37" s="305">
        <f t="shared" si="146"/>
        <v>1778.5059285087143</v>
      </c>
      <c r="GV37" s="307">
        <f t="shared" si="147"/>
        <v>1.1112703645172665E-2</v>
      </c>
      <c r="GW37" s="307">
        <f t="shared" si="148"/>
        <v>1.1112703645172665E-2</v>
      </c>
      <c r="GX37" s="305">
        <f t="shared" si="149"/>
        <v>1.1112703645172665E-2</v>
      </c>
      <c r="GY37" s="305">
        <f t="shared" si="150"/>
        <v>55.477839519976428</v>
      </c>
      <c r="GZ37" s="305">
        <f t="shared" si="151"/>
        <v>55.477839519976428</v>
      </c>
      <c r="HA37" s="305">
        <f t="shared" si="152"/>
        <v>46.852372742145086</v>
      </c>
      <c r="HB37" s="305">
        <f t="shared" si="17"/>
        <v>19.415087041495514</v>
      </c>
      <c r="HC37" s="305">
        <f t="shared" si="18"/>
        <v>19.415087041495514</v>
      </c>
      <c r="HD37" s="529">
        <f t="shared" si="153"/>
        <v>1999.8646552383141</v>
      </c>
      <c r="HE37" s="57">
        <f t="shared" si="7"/>
        <v>706.88795000000005</v>
      </c>
      <c r="HF37" s="57">
        <f t="shared" si="154"/>
        <v>1999.8646552383141</v>
      </c>
      <c r="HG37" s="525">
        <f t="shared" si="9"/>
        <v>17.5</v>
      </c>
      <c r="HH37" s="57">
        <f t="shared" si="10"/>
        <v>17.5</v>
      </c>
      <c r="HI37" s="503">
        <f t="shared" si="75"/>
        <v>1999.8646552383141</v>
      </c>
      <c r="HJ37" s="2">
        <f t="shared" si="90"/>
        <v>1</v>
      </c>
      <c r="HK37" s="503">
        <f t="shared" si="76"/>
        <v>1999.8646552383141</v>
      </c>
      <c r="HL37" s="344">
        <f t="shared" si="155"/>
        <v>0.5</v>
      </c>
      <c r="HM37" s="241">
        <f t="shared" si="156"/>
        <v>1.175</v>
      </c>
      <c r="HN37" s="372"/>
      <c r="HO37" s="230">
        <f t="shared" si="173"/>
        <v>0.48001583420572108</v>
      </c>
      <c r="HP37" s="226">
        <f t="shared" si="157"/>
        <v>706.88795000000005</v>
      </c>
      <c r="HQ37" s="226">
        <f t="shared" si="80"/>
        <v>1472.63465</v>
      </c>
      <c r="HR37" s="222">
        <f>HR38</f>
        <v>0.54969234833636438</v>
      </c>
      <c r="HS37" s="251">
        <f t="shared" si="11"/>
        <v>706.88795000000005</v>
      </c>
      <c r="HT37" s="241">
        <f t="shared" si="158"/>
        <v>0</v>
      </c>
      <c r="HU37" s="242">
        <f t="shared" si="174"/>
        <v>663.13865099999998</v>
      </c>
      <c r="HV37" s="248">
        <f t="shared" si="175"/>
        <v>0</v>
      </c>
      <c r="HW37" s="224">
        <f t="shared" si="12"/>
        <v>17.5</v>
      </c>
      <c r="HX37" s="219">
        <f t="shared" si="159"/>
        <v>21.150000000000002</v>
      </c>
      <c r="HY37" s="224">
        <f t="shared" si="160"/>
        <v>3.6500000000000021</v>
      </c>
      <c r="HZ37" s="373"/>
      <c r="IA37" s="373"/>
      <c r="IB37" s="224">
        <f t="shared" si="161"/>
        <v>17.5</v>
      </c>
      <c r="IC37" s="373"/>
      <c r="IE37" s="161">
        <f t="shared" si="162"/>
        <v>15.69066559142683</v>
      </c>
      <c r="IG37" s="259" t="e">
        <f t="shared" si="163"/>
        <v>#DIV/0!</v>
      </c>
      <c r="II37" s="305">
        <f t="shared" si="164"/>
        <v>2334.1781978570243</v>
      </c>
      <c r="IJ37" s="305">
        <f t="shared" si="165"/>
        <v>16999.113627756229</v>
      </c>
    </row>
    <row r="38" spans="2:244" ht="15" customHeight="1" x14ac:dyDescent="0.25">
      <c r="B38" s="195">
        <v>1</v>
      </c>
      <c r="C38" s="336">
        <v>10</v>
      </c>
      <c r="D38" s="329">
        <f t="shared" si="104"/>
        <v>9757.8963376390766</v>
      </c>
      <c r="E38" s="30">
        <f t="shared" si="105"/>
        <v>839</v>
      </c>
      <c r="F38" s="330">
        <f t="shared" si="106"/>
        <v>19.582207794636734</v>
      </c>
      <c r="G38" s="329">
        <f t="shared" si="107"/>
        <v>2199.744151575901</v>
      </c>
      <c r="H38" s="32">
        <f t="shared" si="108"/>
        <v>2199.744151575901</v>
      </c>
      <c r="I38" s="30">
        <f>IF(Geg_dP&lt;AB38,ROUND(((IF('Briza 22 &amp; 26'!$M$4="High Perform. 208/230V (US/EU)",cal!HK38,H38)/Watts)/((Tr_cool-Tv_cool)*1.163))*FlowH2O,IF(UnitsNo=1,0,IF(UnitsNo=2,2))),"")</f>
        <v>946</v>
      </c>
      <c r="J38" s="330">
        <f t="shared" si="109"/>
        <v>24.393997017324629</v>
      </c>
      <c r="K38" s="333">
        <f t="shared" si="110"/>
        <v>46.5</v>
      </c>
      <c r="L38" s="297">
        <f>IF(Geg_dP&lt;$AB38,IF(CalcNo="12",$ET38,IF(CalcNo="22",$ET38,IF(CalcNo="13",$EU38,IF(CalcNo="23",$EU38,IF(CalcNo="11",$ER38,IF(CalcNo="21",$ER38,IF(CalcNo="14",$ES38,IF(CalcNo="24",$ES38,IF(CalcNo="32",$EX38,IF(CalcNo="42",$EX38,IF(CalcNo="33",$EY38,IF(CalcNo="43",$EY38,IF(CalcNo="31",$EV38,IF(CalcNo="41",$EV38,IF(CalcNo="34",$EW38,IF(CalcNo="44",$EW38,)))))))))))))))),"")</f>
        <v>54.5</v>
      </c>
      <c r="M38" s="198">
        <f>IF(Geg_dP&lt;$AB38,($CF38*(($N38*CFMs)^4))+($CG38*(($N38*CFMs)^3))+($CH38*(($N38*CFMs)^2))+($CI38*($N38*CFMs))+$CJ38,"")</f>
        <v>51.222492488429708</v>
      </c>
      <c r="N38" s="197">
        <f t="shared" si="112"/>
        <v>809.49599899999998</v>
      </c>
      <c r="O38" s="480">
        <f t="shared" si="113"/>
        <v>1.0758851661350346</v>
      </c>
      <c r="P38" s="198">
        <f t="shared" si="114"/>
        <v>55.38321421226928</v>
      </c>
      <c r="Q38" s="297">
        <f t="shared" si="115"/>
        <v>24.674672914035249</v>
      </c>
      <c r="R38" s="509">
        <f t="shared" si="116"/>
        <v>18.923271239401487</v>
      </c>
      <c r="S38" s="36">
        <f t="shared" si="117"/>
        <v>16.775896668998776</v>
      </c>
      <c r="T38" s="300">
        <f t="shared" si="118"/>
        <v>0.8146072630477551</v>
      </c>
      <c r="U38" s="416">
        <f t="shared" si="119"/>
        <v>1048.5357220807407</v>
      </c>
      <c r="V38" s="483">
        <f t="shared" si="120"/>
        <v>0.227797262971212</v>
      </c>
      <c r="W38" s="513">
        <f t="shared" si="121"/>
        <v>2.7174243656464334</v>
      </c>
      <c r="X38" s="56">
        <f t="shared" si="1"/>
        <v>1.0306200000000001</v>
      </c>
      <c r="Y38" s="56">
        <f t="shared" si="166"/>
        <v>1.073</v>
      </c>
      <c r="Z38" s="56">
        <f t="shared" si="167"/>
        <v>1.14154</v>
      </c>
      <c r="AA38" s="56">
        <f t="shared" si="13"/>
        <v>1.0306200000000001</v>
      </c>
      <c r="AB38" s="56">
        <f t="shared" si="14"/>
        <v>120.18</v>
      </c>
      <c r="AC38" s="95">
        <v>1.0306200000000001</v>
      </c>
      <c r="AD38" s="95">
        <v>1.073</v>
      </c>
      <c r="AE38" s="95">
        <v>1.14154</v>
      </c>
      <c r="AF38" s="96">
        <v>86</v>
      </c>
      <c r="AG38" s="95">
        <v>1.0306200000000001</v>
      </c>
      <c r="AH38" s="95">
        <v>1.073</v>
      </c>
      <c r="AI38" s="95">
        <v>1.14154</v>
      </c>
      <c r="AJ38" s="486">
        <v>139</v>
      </c>
      <c r="AK38" s="487">
        <v>1.0306200000000001</v>
      </c>
      <c r="AL38" s="487">
        <v>1.073</v>
      </c>
      <c r="AM38" s="487">
        <v>1.14154</v>
      </c>
      <c r="AN38" s="486">
        <v>120.18</v>
      </c>
      <c r="AO38" s="487">
        <v>1.0127469901095905</v>
      </c>
      <c r="AP38" s="487">
        <v>1.4118789851268314</v>
      </c>
      <c r="AQ38" s="487">
        <v>1.1240022585776352</v>
      </c>
      <c r="AR38" s="486">
        <f>AR37</f>
        <v>213.4</v>
      </c>
      <c r="AS38" s="488"/>
      <c r="AT38" s="488"/>
      <c r="AU38" s="488"/>
      <c r="AV38" s="488">
        <v>1000</v>
      </c>
      <c r="AW38" s="488"/>
      <c r="AX38" s="488"/>
      <c r="AY38" s="488"/>
      <c r="AZ38" s="488">
        <v>1000</v>
      </c>
      <c r="BA38" s="97"/>
      <c r="BB38" s="97"/>
      <c r="BC38" s="97"/>
      <c r="BD38" s="97">
        <v>1000</v>
      </c>
      <c r="BE38" s="97"/>
      <c r="BF38" s="97"/>
      <c r="BG38" s="97"/>
      <c r="BH38" s="97">
        <v>1000</v>
      </c>
      <c r="BJ38" s="182"/>
      <c r="BK38" s="84">
        <f t="shared" si="176"/>
        <v>-458.60775000000001</v>
      </c>
      <c r="BL38" s="85">
        <f t="shared" si="176"/>
        <v>-306.69871899999998</v>
      </c>
      <c r="BM38" s="85">
        <f t="shared" si="176"/>
        <v>1.8304780500024638</v>
      </c>
      <c r="BN38" s="103">
        <v>-458.60775000000001</v>
      </c>
      <c r="BO38" s="104">
        <v>-306.69871899999998</v>
      </c>
      <c r="BP38" s="106">
        <v>1.8304780500024638</v>
      </c>
      <c r="BQ38" s="103">
        <v>38.738456200000002</v>
      </c>
      <c r="BR38" s="104">
        <f>BO38</f>
        <v>-306.69871899999998</v>
      </c>
      <c r="BS38" s="106">
        <f>+BP38</f>
        <v>1.8304780500024638</v>
      </c>
      <c r="BT38" s="97">
        <v>0</v>
      </c>
      <c r="BU38" s="97">
        <v>0</v>
      </c>
      <c r="BV38" s="97">
        <v>0</v>
      </c>
      <c r="BW38" s="97">
        <v>0</v>
      </c>
      <c r="BX38" s="97">
        <v>0</v>
      </c>
      <c r="BY38" s="97">
        <v>0</v>
      </c>
      <c r="BZ38" s="131">
        <f t="shared" si="123"/>
        <v>0</v>
      </c>
      <c r="CA38" s="132">
        <f t="shared" si="123"/>
        <v>-3.2180174400000001E-6</v>
      </c>
      <c r="CB38" s="132">
        <f t="shared" si="168"/>
        <v>7.9753316000000002E-4</v>
      </c>
      <c r="CC38" s="132">
        <f t="shared" si="168"/>
        <v>-6.8937161100000005E-2</v>
      </c>
      <c r="CD38" s="132">
        <f t="shared" si="168"/>
        <v>-4.21141057</v>
      </c>
      <c r="CE38" s="133">
        <f t="shared" si="168"/>
        <v>809.49599899999998</v>
      </c>
      <c r="CF38" s="131">
        <f t="shared" si="168"/>
        <v>0</v>
      </c>
      <c r="CG38" s="132">
        <f t="shared" si="168"/>
        <v>-1.9044208900000001E-7</v>
      </c>
      <c r="CH38" s="132">
        <f t="shared" si="168"/>
        <v>1.6321210200000001E-4</v>
      </c>
      <c r="CI38" s="132">
        <f t="shared" si="168"/>
        <v>2.2657409999999999E-2</v>
      </c>
      <c r="CJ38" s="132">
        <f t="shared" si="168"/>
        <v>23.975034300000001</v>
      </c>
      <c r="CK38" s="131">
        <f t="shared" si="168"/>
        <v>-5.7773725099999999E-5</v>
      </c>
      <c r="CL38" s="132">
        <f t="shared" si="168"/>
        <v>-0.50683246599999998</v>
      </c>
      <c r="CM38" s="133">
        <f t="shared" si="168"/>
        <v>1496.6727599999999</v>
      </c>
      <c r="CN38" s="358"/>
      <c r="CO38" s="117">
        <v>-2.3354524900000002E-6</v>
      </c>
      <c r="CP38" s="117">
        <v>5.9909724300000005E-4</v>
      </c>
      <c r="CQ38" s="117">
        <v>-6.3729612899999996E-2</v>
      </c>
      <c r="CR38" s="117">
        <v>-5.4273386400000003</v>
      </c>
      <c r="CS38" s="118">
        <v>686.54042800000002</v>
      </c>
      <c r="CT38" s="358"/>
      <c r="CU38" s="119">
        <v>-2.70987265E-7</v>
      </c>
      <c r="CV38" s="117">
        <v>2.06715754E-4</v>
      </c>
      <c r="CW38" s="117">
        <v>1.1897685E-2</v>
      </c>
      <c r="CX38" s="118">
        <v>16.444462600000001</v>
      </c>
      <c r="CY38" s="113">
        <v>-8.9273415500000004E-5</v>
      </c>
      <c r="CZ38" s="113">
        <v>-0.216008064</v>
      </c>
      <c r="DA38" s="423">
        <v>1248.7760800000001</v>
      </c>
      <c r="DB38" s="358"/>
      <c r="DC38" s="117">
        <v>-1.70757422E-6</v>
      </c>
      <c r="DD38" s="117">
        <v>5.7362340999999998E-4</v>
      </c>
      <c r="DE38" s="117">
        <v>-7.8792114400000002E-2</v>
      </c>
      <c r="DF38" s="117">
        <v>-2.5993936400000002</v>
      </c>
      <c r="DG38" s="118">
        <v>990.13422100000003</v>
      </c>
      <c r="DH38" s="358"/>
      <c r="DI38" s="119">
        <v>-3.4855180799999998E-7</v>
      </c>
      <c r="DJ38" s="117">
        <v>2.8784676200000001E-4</v>
      </c>
      <c r="DK38" s="117">
        <v>2.02506766E-2</v>
      </c>
      <c r="DL38" s="169">
        <v>29.871401800000001</v>
      </c>
      <c r="DM38" s="113">
        <v>-1.23356558E-4</v>
      </c>
      <c r="DN38" s="113">
        <v>-0.26097959199999998</v>
      </c>
      <c r="DO38" s="423">
        <v>1587.5471299999999</v>
      </c>
      <c r="DP38" s="424"/>
      <c r="DQ38" s="117">
        <v>-3.2180174400000001E-6</v>
      </c>
      <c r="DR38" s="117">
        <v>7.9753316000000002E-4</v>
      </c>
      <c r="DS38" s="117">
        <v>-6.8937161100000005E-2</v>
      </c>
      <c r="DT38" s="117">
        <v>-4.21141057</v>
      </c>
      <c r="DU38" s="118">
        <v>809.49599899999998</v>
      </c>
      <c r="DV38" s="377"/>
      <c r="DW38" s="127">
        <v>-1.9044208900000001E-7</v>
      </c>
      <c r="DX38" s="123">
        <v>1.6321210200000001E-4</v>
      </c>
      <c r="DY38" s="123">
        <v>2.2657409999999999E-2</v>
      </c>
      <c r="DZ38" s="124">
        <v>23.975034300000001</v>
      </c>
      <c r="EA38" s="117">
        <v>-5.7773725099999999E-5</v>
      </c>
      <c r="EB38" s="117">
        <v>-0.50683246599999998</v>
      </c>
      <c r="EC38" s="425">
        <v>1496.6727599999999</v>
      </c>
      <c r="ED38" s="435">
        <f t="shared" ref="ED38:EI38" si="177">ED37</f>
        <v>2.8000451400000001E-8</v>
      </c>
      <c r="EE38" s="117">
        <f t="shared" si="177"/>
        <v>-1.28084119E-5</v>
      </c>
      <c r="EF38" s="117">
        <f t="shared" si="177"/>
        <v>1.82357105E-3</v>
      </c>
      <c r="EG38" s="117">
        <f t="shared" si="177"/>
        <v>-0.105351927</v>
      </c>
      <c r="EH38" s="117">
        <f t="shared" si="177"/>
        <v>-1.02217889</v>
      </c>
      <c r="EI38" s="117">
        <f t="shared" si="177"/>
        <v>1472.63465</v>
      </c>
      <c r="EJ38" s="379">
        <f t="shared" ref="EJ38:EQ38" si="178">EJ37</f>
        <v>0</v>
      </c>
      <c r="EK38" s="119">
        <f t="shared" si="178"/>
        <v>-1.03375606E-7</v>
      </c>
      <c r="EL38" s="117">
        <f t="shared" si="178"/>
        <v>2.12519465E-4</v>
      </c>
      <c r="EM38" s="117">
        <f t="shared" si="178"/>
        <v>-1.0958750499999999E-2</v>
      </c>
      <c r="EN38" s="118">
        <f t="shared" si="178"/>
        <v>56.712093699999997</v>
      </c>
      <c r="EO38" s="396">
        <f t="shared" si="178"/>
        <v>-2.5604907399999998E-4</v>
      </c>
      <c r="EP38" s="396">
        <f t="shared" si="178"/>
        <v>0.24937564700000001</v>
      </c>
      <c r="EQ38" s="431">
        <f t="shared" si="178"/>
        <v>1886.7392600000001</v>
      </c>
      <c r="ER38" s="137">
        <v>54.5</v>
      </c>
      <c r="ES38" s="368"/>
      <c r="ET38" s="137">
        <v>54.5</v>
      </c>
      <c r="EU38" s="368"/>
      <c r="EV38" s="137">
        <f>ER38-5</f>
        <v>49.5</v>
      </c>
      <c r="EW38" s="368"/>
      <c r="EX38" s="369"/>
      <c r="EY38" s="370"/>
      <c r="EZ38" s="137">
        <f t="shared" si="125"/>
        <v>17.5</v>
      </c>
      <c r="FA38" s="143">
        <f>Tavg_cold</f>
        <v>17</v>
      </c>
      <c r="FB38" s="144">
        <f t="shared" si="126"/>
        <v>17.5</v>
      </c>
      <c r="FC38" s="143">
        <f t="shared" si="127"/>
        <v>17.5</v>
      </c>
      <c r="FD38" s="144">
        <f t="shared" si="169"/>
        <v>17.5</v>
      </c>
      <c r="FE38" s="353"/>
      <c r="FF38" s="354"/>
      <c r="FG38" s="354"/>
      <c r="FH38" s="355"/>
      <c r="FJ38" s="344">
        <f t="shared" si="128"/>
        <v>0.5</v>
      </c>
      <c r="FK38" s="241">
        <f t="shared" si="129"/>
        <v>1.175</v>
      </c>
      <c r="FL38" s="397"/>
      <c r="FM38" s="230">
        <f t="shared" si="170"/>
        <v>0.54969234833636438</v>
      </c>
      <c r="FN38" s="226">
        <f>DU38</f>
        <v>809.49599899999998</v>
      </c>
      <c r="FO38" s="226">
        <f>EI38</f>
        <v>1472.63465</v>
      </c>
      <c r="FP38" s="222">
        <f>FN38/FO38</f>
        <v>0.54969234833636438</v>
      </c>
      <c r="FQ38" s="238">
        <f t="shared" si="130"/>
        <v>809.49599899999998</v>
      </c>
      <c r="FR38" s="241">
        <f t="shared" si="131"/>
        <v>0</v>
      </c>
      <c r="FS38" s="242">
        <f t="shared" si="171"/>
        <v>663.13865099999998</v>
      </c>
      <c r="FT38" s="248">
        <f t="shared" si="172"/>
        <v>0</v>
      </c>
      <c r="FU38" s="224">
        <f>FC38</f>
        <v>17.5</v>
      </c>
      <c r="FV38" s="219">
        <f t="shared" si="132"/>
        <v>21.150000000000002</v>
      </c>
      <c r="FW38" s="224">
        <f>ABS(FV38-FU38)</f>
        <v>3.6500000000000021</v>
      </c>
      <c r="FX38" s="399"/>
      <c r="FY38" s="399"/>
      <c r="FZ38" s="224">
        <f>IF(FM38&lt;=FP38,FU38,FU38+(FT38*FW38))</f>
        <v>17.5</v>
      </c>
      <c r="GA38" s="399"/>
      <c r="GC38" s="161">
        <f t="shared" si="133"/>
        <v>15.69066559142683</v>
      </c>
      <c r="GE38" s="259">
        <f t="shared" si="134"/>
        <v>0</v>
      </c>
      <c r="GG38" s="305">
        <f t="shared" si="135"/>
        <v>2334.1781978570243</v>
      </c>
      <c r="GH38" s="305">
        <f t="shared" si="136"/>
        <v>15971.583439743736</v>
      </c>
      <c r="GI38" s="305">
        <f t="shared" si="137"/>
        <v>1167.0890989285122</v>
      </c>
      <c r="GJ38" s="305">
        <f t="shared" si="138"/>
        <v>1167.0890989285119</v>
      </c>
      <c r="GK38" s="305">
        <f t="shared" si="139"/>
        <v>7.2478490515896785E-3</v>
      </c>
      <c r="GL38" s="305">
        <f t="shared" si="15"/>
        <v>7.2478490515896785E-3</v>
      </c>
      <c r="GM38" s="305">
        <f t="shared" si="140"/>
        <v>38.490692183503647</v>
      </c>
      <c r="GN38" s="305">
        <f t="shared" si="141"/>
        <v>74.530388072551276</v>
      </c>
      <c r="GO38" s="306">
        <f t="shared" si="16"/>
        <v>7.3072848620902797E-2</v>
      </c>
      <c r="GQ38" s="305">
        <f t="shared" si="142"/>
        <v>3557.0118570174286</v>
      </c>
      <c r="GR38" s="305">
        <f t="shared" si="143"/>
        <v>2183.2679490907658</v>
      </c>
      <c r="GS38" s="305">
        <f t="shared" si="144"/>
        <v>1778.5059285087143</v>
      </c>
      <c r="GT38" s="305">
        <f t="shared" si="145"/>
        <v>1778.5059285087143</v>
      </c>
      <c r="GU38" s="305">
        <f t="shared" si="146"/>
        <v>1778.5059285087143</v>
      </c>
      <c r="GV38" s="307">
        <f t="shared" si="147"/>
        <v>1.1112703645172665E-2</v>
      </c>
      <c r="GW38" s="307">
        <f t="shared" si="148"/>
        <v>1.1112703645172665E-2</v>
      </c>
      <c r="GX38" s="305">
        <f t="shared" si="149"/>
        <v>1.1112703645172665E-2</v>
      </c>
      <c r="GY38" s="305">
        <f t="shared" si="150"/>
        <v>55.477839519976428</v>
      </c>
      <c r="GZ38" s="305">
        <f t="shared" si="151"/>
        <v>55.477839519976428</v>
      </c>
      <c r="HA38" s="305">
        <f t="shared" si="152"/>
        <v>47.192886587405042</v>
      </c>
      <c r="HB38" s="305">
        <f t="shared" si="17"/>
        <v>19.415087041495514</v>
      </c>
      <c r="HC38" s="305">
        <f t="shared" si="18"/>
        <v>19.415087041495514</v>
      </c>
      <c r="HD38" s="529">
        <f t="shared" si="153"/>
        <v>2199.744151575901</v>
      </c>
      <c r="HE38" s="57">
        <f t="shared" si="7"/>
        <v>809.49599899999998</v>
      </c>
      <c r="HF38" s="57">
        <f t="shared" si="154"/>
        <v>2199.744151575901</v>
      </c>
      <c r="HG38" s="525">
        <f t="shared" si="9"/>
        <v>17.5</v>
      </c>
      <c r="HH38" s="57">
        <f t="shared" si="10"/>
        <v>17.5</v>
      </c>
      <c r="HI38" s="503">
        <f t="shared" si="75"/>
        <v>2199.744151575901</v>
      </c>
      <c r="HJ38" s="2">
        <f t="shared" si="90"/>
        <v>1</v>
      </c>
      <c r="HK38" s="503">
        <f t="shared" si="76"/>
        <v>2199.744151575901</v>
      </c>
      <c r="HL38" s="344">
        <f t="shared" si="155"/>
        <v>0.5</v>
      </c>
      <c r="HM38" s="241">
        <f t="shared" si="156"/>
        <v>1.175</v>
      </c>
      <c r="HN38" s="397"/>
      <c r="HO38" s="230">
        <f t="shared" si="173"/>
        <v>0.54969234833636438</v>
      </c>
      <c r="HP38" s="226">
        <f t="shared" si="157"/>
        <v>809.49599899999998</v>
      </c>
      <c r="HQ38" s="226">
        <f t="shared" si="80"/>
        <v>1472.63465</v>
      </c>
      <c r="HR38" s="222">
        <f>HP38/HQ38</f>
        <v>0.54969234833636438</v>
      </c>
      <c r="HS38" s="251">
        <f t="shared" si="11"/>
        <v>809.49599899999998</v>
      </c>
      <c r="HT38" s="241">
        <f t="shared" si="158"/>
        <v>0</v>
      </c>
      <c r="HU38" s="242">
        <f t="shared" si="174"/>
        <v>663.13865099999998</v>
      </c>
      <c r="HV38" s="248">
        <f t="shared" si="175"/>
        <v>0</v>
      </c>
      <c r="HW38" s="224">
        <f t="shared" si="12"/>
        <v>17.5</v>
      </c>
      <c r="HX38" s="219">
        <f t="shared" si="159"/>
        <v>21.150000000000002</v>
      </c>
      <c r="HY38" s="224">
        <f>ABS(HX38-HW38)</f>
        <v>3.6500000000000021</v>
      </c>
      <c r="HZ38" s="399"/>
      <c r="IA38" s="399"/>
      <c r="IB38" s="224">
        <f>IF(HO38&lt;=HR38,HW38,HW38+(HV38*HY38))</f>
        <v>17.5</v>
      </c>
      <c r="IC38" s="399"/>
      <c r="IE38" s="161">
        <f t="shared" si="162"/>
        <v>15.69066559142683</v>
      </c>
      <c r="IG38" s="259" t="e">
        <f t="shared" si="163"/>
        <v>#DIV/0!</v>
      </c>
      <c r="II38" s="305">
        <f t="shared" si="164"/>
        <v>2334.1781978570243</v>
      </c>
      <c r="IJ38" s="305">
        <f t="shared" si="165"/>
        <v>15971.583439743736</v>
      </c>
    </row>
    <row r="39" spans="2:244" ht="15" customHeight="1" x14ac:dyDescent="0.25">
      <c r="B39" s="589" t="str">
        <f>IF(LangNo=1,NL!A39,IF(LangNo=2,EN!A39,IF(LangNo=3,DE!A39,IF(LangNo=4,FR!A39,IF(LangNo=5,NR!A39,IF(LangNo=6,SP!A39,IF(LangNo=7,SW!A39,IF(LangNo=8,TS!A39,IF(LangNo=9,ExtraTaal1!A39,IF(LangNo=10,ExtraTaal2!A39,IF(LangNo=11,ExtraTaal3!A39,)))))))))))</f>
        <v>Briza 22 (230V) height 54,5 cm, width 22 cm, length 125 cm (Type 06)</v>
      </c>
      <c r="C39" s="590"/>
      <c r="D39" s="590"/>
      <c r="E39" s="590"/>
      <c r="F39" s="590"/>
      <c r="G39" s="590"/>
      <c r="H39" s="590"/>
      <c r="I39" s="590"/>
      <c r="J39" s="590"/>
      <c r="K39" s="590"/>
      <c r="L39" s="590"/>
      <c r="M39" s="590"/>
      <c r="N39" s="590"/>
      <c r="O39" s="590"/>
      <c r="P39" s="590"/>
      <c r="Q39" s="590"/>
      <c r="R39" s="590"/>
      <c r="S39" s="590"/>
      <c r="T39" s="590"/>
      <c r="U39" s="590"/>
      <c r="V39" s="591"/>
      <c r="W39" s="513"/>
      <c r="X39" s="56"/>
      <c r="Y39" s="56"/>
      <c r="Z39" s="56"/>
      <c r="AA39" s="56">
        <f t="shared" si="13"/>
        <v>0</v>
      </c>
      <c r="AB39" s="56" t="str">
        <f t="shared" si="14"/>
        <v>m³/h</v>
      </c>
      <c r="AC39" s="94" t="s">
        <v>9</v>
      </c>
      <c r="AD39" s="94" t="s">
        <v>9</v>
      </c>
      <c r="AE39" s="94" t="s">
        <v>9</v>
      </c>
      <c r="AF39" s="95" t="s">
        <v>70</v>
      </c>
      <c r="AG39" s="94" t="s">
        <v>9</v>
      </c>
      <c r="AH39" s="94" t="s">
        <v>9</v>
      </c>
      <c r="AI39" s="94" t="s">
        <v>9</v>
      </c>
      <c r="AJ39" s="485" t="s">
        <v>70</v>
      </c>
      <c r="AK39" s="485" t="s">
        <v>9</v>
      </c>
      <c r="AL39" s="485" t="s">
        <v>9</v>
      </c>
      <c r="AM39" s="485" t="s">
        <v>9</v>
      </c>
      <c r="AN39" s="485" t="s">
        <v>70</v>
      </c>
      <c r="AO39" s="485" t="s">
        <v>9</v>
      </c>
      <c r="AP39" s="485" t="s">
        <v>9</v>
      </c>
      <c r="AQ39" s="485" t="s">
        <v>9</v>
      </c>
      <c r="AR39" s="487" t="s">
        <v>70</v>
      </c>
      <c r="AS39" s="485" t="s">
        <v>9</v>
      </c>
      <c r="AT39" s="485" t="s">
        <v>9</v>
      </c>
      <c r="AU39" s="485" t="s">
        <v>9</v>
      </c>
      <c r="AV39" s="486" t="str">
        <f t="shared" ref="AV39:AV61" si="179">AF39</f>
        <v>m³/h</v>
      </c>
      <c r="AW39" s="485" t="s">
        <v>9</v>
      </c>
      <c r="AX39" s="485" t="s">
        <v>9</v>
      </c>
      <c r="AY39" s="485" t="s">
        <v>9</v>
      </c>
      <c r="AZ39" s="486" t="str">
        <f t="shared" ref="AZ39:AZ61" si="180">AJ39</f>
        <v>m³/h</v>
      </c>
      <c r="BA39" s="94" t="s">
        <v>9</v>
      </c>
      <c r="BB39" s="94" t="s">
        <v>9</v>
      </c>
      <c r="BC39" s="94" t="s">
        <v>9</v>
      </c>
      <c r="BD39" s="96" t="str">
        <f t="shared" ref="BD39:BD61" si="181">AN39</f>
        <v>m³/h</v>
      </c>
      <c r="BE39" s="94" t="s">
        <v>9</v>
      </c>
      <c r="BF39" s="94" t="s">
        <v>9</v>
      </c>
      <c r="BG39" s="94" t="s">
        <v>9</v>
      </c>
      <c r="BH39" s="96" t="str">
        <f t="shared" ref="BH39:BH61" si="182">AR39</f>
        <v>m³/h</v>
      </c>
      <c r="BJ39" s="182">
        <f>IF($BK$17="11",BO39,IF($BK$17="21",BR39,IF($BK$17="12",BO39,IF($BK$17="22",BR39,IF($BK$17="13",BO39,IF($BK$17="23",BR39,IF($BK$17="14",BO39,IF($BK$17="24",BR39,IF($BK$17="31",BU39,IF($BK$17="41",BX39,IF($BK$17="32",BU39,IF($BK$17="42",BX39,IF($BK$17="33",BU39,IF($BK$17="43",BX39,IF($BK$17="34",BU39,IF($BK$17="44",BX39,))))))))))))))))</f>
        <v>22</v>
      </c>
      <c r="BK39" s="255">
        <f>(BN39+IF(CaseNo=1,0,IF(CaseNo=2,$BN$2,)))*MilInch</f>
        <v>54.5</v>
      </c>
      <c r="BL39" s="255">
        <f>(BJ39+IF(CaseNo=1,0,IF(CaseNo=2,$BN$3,)))*MilInch</f>
        <v>22</v>
      </c>
      <c r="BM39" s="255">
        <f>(BP39+IF(CaseNo=1,0,IF(CaseNo=2,$BN$4,)))*MilInch</f>
        <v>95</v>
      </c>
      <c r="BN39" s="255">
        <v>54.5</v>
      </c>
      <c r="BO39" s="255">
        <v>22</v>
      </c>
      <c r="BP39" s="255">
        <v>95</v>
      </c>
      <c r="BQ39" s="255">
        <v>54.5</v>
      </c>
      <c r="BR39" s="255">
        <v>22</v>
      </c>
      <c r="BS39" s="255">
        <v>95</v>
      </c>
      <c r="BT39" s="255">
        <v>54.5</v>
      </c>
      <c r="BU39" s="255">
        <v>26</v>
      </c>
      <c r="BV39" s="255">
        <v>95</v>
      </c>
      <c r="BW39" s="255">
        <v>54.5</v>
      </c>
      <c r="BX39" s="255">
        <v>26</v>
      </c>
      <c r="BY39" s="255">
        <v>95</v>
      </c>
      <c r="BZ39" s="605" t="str">
        <f>CF39</f>
        <v>T06</v>
      </c>
      <c r="CA39" s="606"/>
      <c r="CB39" s="606"/>
      <c r="CC39" s="606"/>
      <c r="CD39" s="606"/>
      <c r="CE39" s="606"/>
      <c r="CF39" s="607" t="s">
        <v>51</v>
      </c>
      <c r="CG39" s="608"/>
      <c r="CH39" s="608"/>
      <c r="CI39" s="608"/>
      <c r="CJ39" s="608"/>
      <c r="CK39" s="607"/>
      <c r="CL39" s="608"/>
      <c r="CM39" s="609"/>
      <c r="CN39" s="601" t="str">
        <f>CF39</f>
        <v>T06</v>
      </c>
      <c r="CO39" s="596"/>
      <c r="CP39" s="596"/>
      <c r="CQ39" s="596"/>
      <c r="CR39" s="596"/>
      <c r="CS39" s="596"/>
      <c r="CT39" s="596"/>
      <c r="CU39" s="596"/>
      <c r="CV39" s="596"/>
      <c r="CW39" s="596"/>
      <c r="CX39" s="596"/>
      <c r="CY39" s="596"/>
      <c r="CZ39" s="596"/>
      <c r="DA39" s="597"/>
      <c r="DB39" s="601" t="str">
        <f>CF39</f>
        <v>T06</v>
      </c>
      <c r="DC39" s="596"/>
      <c r="DD39" s="596"/>
      <c r="DE39" s="596"/>
      <c r="DF39" s="596"/>
      <c r="DG39" s="596"/>
      <c r="DH39" s="596"/>
      <c r="DI39" s="596"/>
      <c r="DJ39" s="596"/>
      <c r="DK39" s="596"/>
      <c r="DL39" s="596"/>
      <c r="DM39" s="596"/>
      <c r="DN39" s="596"/>
      <c r="DO39" s="597"/>
      <c r="DP39" s="595" t="str">
        <f>CF39</f>
        <v>T06</v>
      </c>
      <c r="DQ39" s="596"/>
      <c r="DR39" s="596"/>
      <c r="DS39" s="596"/>
      <c r="DT39" s="596"/>
      <c r="DU39" s="596"/>
      <c r="DV39" s="596"/>
      <c r="DW39" s="596"/>
      <c r="DX39" s="596"/>
      <c r="DY39" s="596"/>
      <c r="DZ39" s="596"/>
      <c r="EA39" s="596"/>
      <c r="EB39" s="596"/>
      <c r="EC39" s="597"/>
      <c r="ED39" s="596" t="str">
        <f>CF39</f>
        <v>T06</v>
      </c>
      <c r="EE39" s="596"/>
      <c r="EF39" s="596"/>
      <c r="EG39" s="596"/>
      <c r="EH39" s="596"/>
      <c r="EI39" s="596"/>
      <c r="EJ39" s="596"/>
      <c r="EK39" s="596"/>
      <c r="EL39" s="596"/>
      <c r="EM39" s="596"/>
      <c r="EN39" s="596"/>
      <c r="EO39" s="596"/>
      <c r="EP39" s="596"/>
      <c r="EQ39" s="596"/>
      <c r="ER39" s="624" t="s">
        <v>51</v>
      </c>
      <c r="ES39" s="606"/>
      <c r="ET39" s="606"/>
      <c r="EU39" s="606"/>
      <c r="EV39" s="606"/>
      <c r="EW39" s="606"/>
      <c r="EX39" s="606"/>
      <c r="EY39" s="606"/>
      <c r="EZ39" s="625"/>
      <c r="FA39" s="601" t="str">
        <f>ER39</f>
        <v>T06</v>
      </c>
      <c r="FB39" s="596"/>
      <c r="FC39" s="596"/>
      <c r="FD39" s="600"/>
      <c r="FE39" s="171"/>
      <c r="FF39" s="171"/>
      <c r="FG39" s="596"/>
      <c r="FH39" s="600"/>
      <c r="FJ39" s="344"/>
      <c r="FK39" s="241"/>
      <c r="FL39" s="235"/>
      <c r="FM39" s="218"/>
      <c r="FN39" s="226"/>
      <c r="FO39" s="226"/>
      <c r="FP39" s="222"/>
      <c r="FQ39" s="238"/>
      <c r="FR39" s="239"/>
      <c r="FS39" s="242"/>
      <c r="FT39" s="248"/>
      <c r="FU39" s="224"/>
      <c r="FV39" s="219"/>
      <c r="FW39" s="224"/>
      <c r="FX39" s="224"/>
      <c r="FY39" s="224"/>
      <c r="FZ39" s="224"/>
      <c r="GA39" s="224"/>
      <c r="GC39" s="161"/>
      <c r="GE39" s="259"/>
      <c r="GG39" s="305"/>
      <c r="GH39" s="305"/>
      <c r="GI39" s="305"/>
      <c r="GJ39" s="305"/>
      <c r="GK39" s="305"/>
      <c r="GL39" s="305"/>
      <c r="GM39" s="305"/>
      <c r="GN39" s="305"/>
      <c r="GO39" s="306"/>
      <c r="GQ39" s="305"/>
      <c r="GR39" s="305"/>
      <c r="GS39" s="305"/>
      <c r="GT39" s="305"/>
      <c r="GU39" s="305"/>
      <c r="GV39" s="307"/>
      <c r="GW39" s="307"/>
      <c r="GX39" s="305"/>
      <c r="GY39" s="305"/>
      <c r="GZ39" s="305"/>
      <c r="HA39" s="305"/>
      <c r="HB39" s="305"/>
      <c r="HC39" s="305"/>
      <c r="HD39" s="529">
        <f t="shared" si="103"/>
        <v>0</v>
      </c>
      <c r="HE39" s="57" t="e">
        <f t="shared" si="7"/>
        <v>#VALUE!</v>
      </c>
      <c r="HF39" s="57" t="e">
        <f>IF(Geg_dP&lt;$AB39,((($BL$18*($HE39/Cubics)^4+$BL$19*($HE39/Cubics)^3+$BL$20*($HE39/Cubics)^2+$BL$21*($HE39/Cubics)^1+$BL$22)*((CF_Regime_Cool_noExp)^$Y39)))*CF_Addit*Watts*CF_Altit,Lim_dP)</f>
        <v>#VALUE!</v>
      </c>
      <c r="HG39" s="525" t="e">
        <f t="shared" si="9"/>
        <v>#VALUE!</v>
      </c>
      <c r="HH39" s="57" t="e">
        <f t="shared" si="10"/>
        <v>#VALUE!</v>
      </c>
      <c r="HI39" s="503" t="e">
        <f t="shared" si="75"/>
        <v>#VALUE!</v>
      </c>
      <c r="HJ39" s="2" t="e">
        <f t="shared" si="90"/>
        <v>#VALUE!</v>
      </c>
      <c r="HK39" s="503" t="e">
        <f t="shared" si="76"/>
        <v>#VALUE!</v>
      </c>
      <c r="HL39" s="682" t="s">
        <v>51</v>
      </c>
      <c r="HM39" s="683"/>
      <c r="HN39" s="683"/>
      <c r="HO39" s="683"/>
      <c r="HP39" s="683"/>
      <c r="HQ39" s="683"/>
      <c r="HR39" s="683"/>
      <c r="HS39" s="683"/>
      <c r="HT39" s="683"/>
      <c r="HU39" s="683"/>
      <c r="HV39" s="683"/>
      <c r="HW39" s="683"/>
      <c r="HX39" s="683"/>
      <c r="HY39" s="683"/>
      <c r="HZ39" s="683"/>
      <c r="IA39" s="683"/>
      <c r="IB39" s="683"/>
      <c r="IC39" s="683"/>
      <c r="IE39" s="161"/>
      <c r="IG39" s="259"/>
      <c r="II39" s="305"/>
      <c r="IJ39" s="305"/>
    </row>
    <row r="40" spans="2:244" ht="15" customHeight="1" x14ac:dyDescent="0.25">
      <c r="B40" s="195">
        <f>IF($AL$5=1,$C40/10,IF($AL$5=2,$C40/10,IF($AL$5=3,0,IF($AL$5=4,$C40/10,))))</f>
        <v>0.2</v>
      </c>
      <c r="C40" s="336">
        <v>2</v>
      </c>
      <c r="D40" s="329">
        <f t="shared" ref="D40:D46" si="183">IF(Geg_dP&lt;AB40,((($BK$40*($N40/Cubics)^4+$BK$41*($N40/Cubics)^3+$BK$43*($N40/Cubics)^2+$BK$45*($N40/Cubics)^1+$BK$46)*((CF_Regime_Heat_noExp)^$AA40)))*CF_Addit*Watts*CF_Altit,Lim_dP)</f>
        <v>4291.0176915798993</v>
      </c>
      <c r="E40" s="30">
        <f t="shared" ref="E40:E46" si="184">IF(Geg_dP&lt;$AB40,ROUND((($D40/Watts)/((Tv_heat-Tr_heat)*1.163))*FlowH2O,IF(UnitsNo=1,0,IF(UnitsNo=2,2))),"")</f>
        <v>369</v>
      </c>
      <c r="F40" s="330">
        <f t="shared" ref="F40:F46" si="185">IF(Geg_dP&lt;$AB40,IF((($BM$40*(E40/FlowH2O)^$BM$41))*kPa&gt;0,(($BM$40*(E40/FlowH2O)^$BM$41))*kPa,0),"")</f>
        <v>1.5453521305701372</v>
      </c>
      <c r="G40" s="329">
        <f t="shared" ref="G40:G46" si="186">IF(Geg_dP&lt;$AB40,((($BL$40*($N40/Cubics)^4+$BL$41*($N40/Cubics)^3+$BL$43*($N40/Cubics)^2+$BL$45*($N40/Cubics)^1+$BL$46)*((CF_Regime_Cool_noExp)^$Y40)))*CF_Addit*Watts*CF_Altit,Lim_dP)</f>
        <v>787.46513030970436</v>
      </c>
      <c r="H40" s="32">
        <f t="shared" ref="H40:H46" si="187">IF(Geg_dP&lt;$AB40,((G40/Watts)/(IF((237.3*LN((RH*EXP(17.27*(Tl_cool/(Tl_cool+237.3))))))/(17.27-LN((RH*EXP(17.27*(Tl_cool/(Tl_cool+237.3))))))&lt;EZ40,1,IF(1/(1+((2258*((0.622/((101325/(1*611*EXP(17.27*(EZ40/(EZ40+237.3))))))-1)*1000-(0.622/((101325/(RH*611*EXP(17.27*(Tl_cool/(Tl_cool+237.3))))))-1)*1000))/(1005*(Tavg_cold-Tl_cool))))&gt;1,1,1/(1+((2258*((0.622/((101325/(1*611*EXP(17.27*(EZ40/(EZ40+237.3))))))-1)*1000-(0.622/((101325/(RH*611*EXP(17.27*(Tl_cool/(Tl_cool+237.3))))))-1)*1000))/(1005*(Tavg_cold-Tl_cool))))))))*Watts,"")</f>
        <v>787.46513030970436</v>
      </c>
      <c r="I40" s="30">
        <f>IF(Geg_dP&lt;AB40,ROUND(((IF('Briza 22 &amp; 26'!$M$4="High Perform. 208/230V (US/EU)",cal!HK40,H40)/Watts)/((Tr_cool-Tv_cool)*1.163))*FlowH2O,IF(UnitsNo=1,0,IF(UnitsNo=2,2))),"")</f>
        <v>339</v>
      </c>
      <c r="J40" s="330">
        <f t="shared" ref="J40:J46" si="188">IF(Geg_dP&lt;$AB40,IF((($BM$45*(I40/FlowH2O)^$BM$46))*kPa&gt;0,(($BM$45*(I40/FlowH2O)^$BM$46))*kPa,0),"")</f>
        <v>1.3210574013780749</v>
      </c>
      <c r="K40" s="333">
        <f t="shared" ref="K40:K46" si="189">IF(Geg_dP&lt;AB40,IF($L40-8&lt;0,0,$L40-8),"")</f>
        <v>28</v>
      </c>
      <c r="L40" s="297">
        <f>IF(Geg_dP&lt;$AB40,IF(CalcNo="12",$ET40,IF(CalcNo="22",$ET40,IF(CalcNo="13",$EU40,IF(CalcNo="23",$EU40,IF(CalcNo="11",$ER40,IF(CalcNo="21",$ER40,IF(CalcNo="14",$ES40,IF(CalcNo="24",$ES40,IF(CalcNo="32",$EX40,IF(CalcNo="42",$EX40,IF(CalcNo="33",$EY40,IF(CalcNo="43",$EY40,IF(CalcNo="31",$EV40,IF(CalcNo="41",$EV40,IF(CalcNo="34",$EW40,IF(CalcNo="44",$EW40,)))))))))))))))),"")</f>
        <v>36</v>
      </c>
      <c r="M40" s="198">
        <f t="shared" ref="M40:M45" si="190">IF(Geg_dP&lt;$AB40,($CF40*(($N40/Cubics)^4))+($CG40*(($N40/Cubics)^3))+($CH40*(($N40/Cubics)^2))+($CI40*($N40/Cubics))+$CJ40,"")</f>
        <v>7.2445213909266313</v>
      </c>
      <c r="N40" s="197">
        <f t="shared" ref="N40:N46" si="191">IF(Geg_dP&lt;$AB40,(BZ40*Geg_dP^5+CA40*Geg_dP^4+CB40*Geg_dP^3+CC40*Geg_dP^2+CD40*Geg_dP+CE40)*CF_Case*Cubics,"")</f>
        <v>333.863698</v>
      </c>
      <c r="O40" s="480">
        <f t="shared" ref="O40:O46" si="192">IF(Geg_dP&lt;$AB40,(($N40/Cubics)/3600)/(($BJ$47/100)*($BP$47/100))*FeetMins,"")</f>
        <v>0.33723605858585859</v>
      </c>
      <c r="P40" s="198">
        <f t="shared" ref="P40:P46" si="193">IF(Geg_dP&lt;$AB40,((($D40/Watts)/(((p_atm*0.028964)/(8.31447*(20+273.15)))*(($N40/3600)/Cubics)*(1005+1870*((0.622)/(((p_atm)/($E$14*pvs_heat_in))-1)))))+Tl_heat)*Celc1+Celc2,"")</f>
        <v>57.72653279232437</v>
      </c>
      <c r="Q40" s="297">
        <f t="shared" ref="Q40:Q46" si="194">IF(Geg_dP&lt;$AB40,(27.8*LN(($GN40+36)/45.5))*Celc1+Celc2,"")</f>
        <v>25.26859687005706</v>
      </c>
      <c r="R40" s="509">
        <f t="shared" ref="R40:R46" si="195">IF(Geg_dP&lt;$AB40,(Tl_cool-(($G40/Watts)/(1006*$N40*kgss)))*Celc1+Celc2,"")</f>
        <v>19.989642503779152</v>
      </c>
      <c r="S40" s="36">
        <f t="shared" ref="S40:S46" si="196">IF(Geg_dP&lt;$AB40,IF((27.8*LN(($HA40+36)/45.5))*Celc1+Celc2&gt;R40,R40,(27.8*LN(($HA40+36)/45.5))*Celc1+Celc2),"")</f>
        <v>17.139043232551529</v>
      </c>
      <c r="T40" s="300">
        <f t="shared" ref="T40:T46" si="197">IF(Geg_dP&lt;$AB40,IF($H40&gt;$G40,1,IF(($GT40/$GR40)&lt;0,0,$GT40/$GR40)),"")</f>
        <v>0.76242894539719197</v>
      </c>
      <c r="U40" s="416">
        <f t="shared" ref="U40:U46" si="198">IF(Geg_dP&lt;$AB40,$CK40*($N40/Cubics)^2+$CL40*($N40/Cubics)^1+$CM40,"")</f>
        <v>433.21562454042123</v>
      </c>
      <c r="V40" s="483">
        <f t="shared" ref="V40:V46" si="199">M40/((N40/Cubics)/3.6)</f>
        <v>7.8116540263493614E-2</v>
      </c>
      <c r="W40" s="513">
        <f t="shared" ref="W40:W46" si="200">(G40/Watts)/(N40/Cubics)</f>
        <v>2.3586425688896084</v>
      </c>
      <c r="X40" s="56">
        <f t="shared" si="1"/>
        <v>0.99324299999999999</v>
      </c>
      <c r="Y40" s="56">
        <f t="shared" si="166"/>
        <v>1.23546</v>
      </c>
      <c r="Z40" s="56">
        <f t="shared" si="167"/>
        <v>1.10433</v>
      </c>
      <c r="AA40" s="56">
        <f t="shared" si="13"/>
        <v>0.99324299999999999</v>
      </c>
      <c r="AB40" s="56">
        <f t="shared" si="14"/>
        <v>9.56</v>
      </c>
      <c r="AC40" s="95">
        <v>0.99324299999999999</v>
      </c>
      <c r="AD40" s="95">
        <v>1.23546</v>
      </c>
      <c r="AE40" s="95">
        <v>1.10433</v>
      </c>
      <c r="AF40" s="96">
        <v>8.1999999999999993</v>
      </c>
      <c r="AG40" s="95">
        <v>0.99324299999999999</v>
      </c>
      <c r="AH40" s="95">
        <v>1.23546</v>
      </c>
      <c r="AI40" s="95">
        <v>1.10433</v>
      </c>
      <c r="AJ40" s="486">
        <v>8</v>
      </c>
      <c r="AK40" s="487">
        <v>0.99324299999999999</v>
      </c>
      <c r="AL40" s="487">
        <v>1.23546</v>
      </c>
      <c r="AM40" s="487">
        <v>1.10433</v>
      </c>
      <c r="AN40" s="486">
        <v>9.56</v>
      </c>
      <c r="AO40" s="487">
        <v>1.0288573703986699</v>
      </c>
      <c r="AP40" s="487">
        <v>1.5348139398733884</v>
      </c>
      <c r="AQ40" s="487">
        <v>1.1401126388667442</v>
      </c>
      <c r="AR40" s="486">
        <v>20.5</v>
      </c>
      <c r="AS40" s="487">
        <v>0.99324299999999999</v>
      </c>
      <c r="AT40" s="487">
        <v>1.23546</v>
      </c>
      <c r="AU40" s="487">
        <v>1.10433</v>
      </c>
      <c r="AV40" s="486">
        <f t="shared" si="179"/>
        <v>8.1999999999999993</v>
      </c>
      <c r="AW40" s="487">
        <v>0.99324299999999999</v>
      </c>
      <c r="AX40" s="487">
        <v>1.23546</v>
      </c>
      <c r="AY40" s="487">
        <v>1.10433</v>
      </c>
      <c r="AZ40" s="486">
        <f t="shared" si="180"/>
        <v>8</v>
      </c>
      <c r="BA40" s="95">
        <v>0.99330580285782832</v>
      </c>
      <c r="BB40" s="95">
        <v>1.2349800450330226</v>
      </c>
      <c r="BC40" s="95">
        <v>1.1045610713258731</v>
      </c>
      <c r="BD40" s="96">
        <f t="shared" si="181"/>
        <v>9.56</v>
      </c>
      <c r="BE40" s="95">
        <v>0.97569608354351034</v>
      </c>
      <c r="BF40" s="95">
        <v>1.0199429606771673</v>
      </c>
      <c r="BG40" s="95">
        <v>1.0869513520115845</v>
      </c>
      <c r="BH40" s="96">
        <f t="shared" si="182"/>
        <v>20.5</v>
      </c>
      <c r="BJ40" s="182"/>
      <c r="BK40" s="80">
        <f t="shared" ref="BK40:BM41" si="201">IF($BK$17="11",BN40,IF($BK$17="21",BQ40,IF($BK$17="12",BN40,IF($BK$17="22",BQ40,IF($BK$17="13",BN40,IF($BK$17="23",BQ40,IF($BK$17="14",BN40,IF($BK$17="24",BQ40,IF($BK$17="31",BT40,IF($BK$17="41",BW40,IF($BK$17="32",BT40,IF($BK$17="42",BW40,IF($BK$17="33",BT40,IF($BK$17="43",BW40,IF($BK$17="34",BT40,IF($BK$17="44",BW40,))))))))))))))))</f>
        <v>0</v>
      </c>
      <c r="BL40" s="81">
        <f t="shared" si="201"/>
        <v>0</v>
      </c>
      <c r="BM40" s="87">
        <f t="shared" si="201"/>
        <v>2.7648500000000001E-5</v>
      </c>
      <c r="BN40" s="97"/>
      <c r="BO40" s="97"/>
      <c r="BP40" s="105">
        <f>BP45</f>
        <v>2.7648500000000001E-5</v>
      </c>
      <c r="BQ40" s="97"/>
      <c r="BR40" s="97">
        <f>BO40</f>
        <v>0</v>
      </c>
      <c r="BS40" s="105">
        <v>1.5054193678754681E-4</v>
      </c>
      <c r="BT40" s="97"/>
      <c r="BU40" s="97"/>
      <c r="BV40" s="105">
        <f>BV45</f>
        <v>2.3136994500000001E-5</v>
      </c>
      <c r="BW40" s="97"/>
      <c r="BX40" s="97"/>
      <c r="BY40" s="105">
        <f>BS40</f>
        <v>1.5054193678754681E-4</v>
      </c>
      <c r="BZ40" s="128">
        <f t="shared" ref="BZ40:CM46" si="202">IF($BK$17="11",CN40,IF($BK$17="21",CN40,IF($BK$17="12",DP40,IF($BK$17="22",DP40,IF($BK$17="13",ED40,IF($BK$17="23",ED40,IF($BK$17="14",DB40,IF($BK$17="24",DB40,IF($BK$17="31",CN40,IF($BK$17="41",CN40,IF($BK$17="32",DP40,IF($BK$17="42",DP40,IF($BK$17="33",ED40,IF($BK$17="43",ED40,IF($BK$17="34",DB40,IF($BK$17="44",DB40,))))))))))))))))</f>
        <v>0</v>
      </c>
      <c r="CA40" s="129">
        <f t="shared" si="202"/>
        <v>5.3026117800000001E-2</v>
      </c>
      <c r="CB40" s="129">
        <f t="shared" si="202"/>
        <v>-1.2148844000000001</v>
      </c>
      <c r="CC40" s="129">
        <f t="shared" si="202"/>
        <v>8.0393693899999992</v>
      </c>
      <c r="CD40" s="129">
        <f t="shared" si="202"/>
        <v>-41.108995200000003</v>
      </c>
      <c r="CE40" s="129">
        <f t="shared" si="202"/>
        <v>333.863698</v>
      </c>
      <c r="CF40" s="128">
        <f t="shared" si="202"/>
        <v>0</v>
      </c>
      <c r="CG40" s="129">
        <f t="shared" si="202"/>
        <v>-1.4759631099999999E-8</v>
      </c>
      <c r="CH40" s="129">
        <f t="shared" si="202"/>
        <v>1.04912322E-5</v>
      </c>
      <c r="CI40" s="129">
        <f t="shared" si="202"/>
        <v>2.47179709E-3</v>
      </c>
      <c r="CJ40" s="129">
        <f t="shared" si="202"/>
        <v>5.7991396899999996</v>
      </c>
      <c r="CK40" s="128">
        <f t="shared" si="202"/>
        <v>-1.7586943600000001E-4</v>
      </c>
      <c r="CL40" s="129">
        <f t="shared" si="202"/>
        <v>-0.16103747900000001</v>
      </c>
      <c r="CM40" s="130">
        <f t="shared" si="202"/>
        <v>506.58347400000002</v>
      </c>
      <c r="CN40" s="356"/>
      <c r="CO40" s="110">
        <v>-6.0080235000000001E-4</v>
      </c>
      <c r="CP40" s="110">
        <v>5.1497422199999997E-2</v>
      </c>
      <c r="CQ40" s="110">
        <v>-0.54168196300000004</v>
      </c>
      <c r="CR40" s="110">
        <v>-20.250914999999999</v>
      </c>
      <c r="CS40" s="111">
        <v>176.68652700000001</v>
      </c>
      <c r="CT40" s="356"/>
      <c r="CU40" s="112">
        <v>-2.1885821699999999E-8</v>
      </c>
      <c r="CV40" s="110">
        <v>7.0732911699999996E-6</v>
      </c>
      <c r="CW40" s="110">
        <v>2.31510533E-3</v>
      </c>
      <c r="CX40" s="111">
        <v>4.88882292</v>
      </c>
      <c r="CY40" s="110">
        <v>-3.2722140300000001E-4</v>
      </c>
      <c r="CZ40" s="110">
        <v>2.13728802E-2</v>
      </c>
      <c r="DA40" s="421">
        <v>339.920119</v>
      </c>
      <c r="DB40" s="356"/>
      <c r="DC40" s="110">
        <v>-1.8733777300000001E-2</v>
      </c>
      <c r="DD40" s="110">
        <v>0.33338473200000002</v>
      </c>
      <c r="DE40" s="110">
        <v>-2.0991244600000001</v>
      </c>
      <c r="DF40" s="110">
        <v>-23.503812400000001</v>
      </c>
      <c r="DG40" s="111">
        <v>276.31104599999998</v>
      </c>
      <c r="DH40" s="356"/>
      <c r="DI40" s="112">
        <v>3.0538156599999998E-9</v>
      </c>
      <c r="DJ40" s="110">
        <v>2.1383142399999999E-6</v>
      </c>
      <c r="DK40" s="110">
        <v>2.9551052299999999E-3</v>
      </c>
      <c r="DL40" s="111">
        <v>5.4343394199999997</v>
      </c>
      <c r="DM40" s="110">
        <v>2.5254220700000001E-4</v>
      </c>
      <c r="DN40" s="110">
        <v>-0.14261299699999999</v>
      </c>
      <c r="DO40" s="421">
        <v>481.317633</v>
      </c>
      <c r="DP40" s="420"/>
      <c r="DQ40" s="110">
        <v>5.3026117800000001E-2</v>
      </c>
      <c r="DR40" s="110">
        <v>-1.2148844000000001</v>
      </c>
      <c r="DS40" s="110">
        <v>8.0393693899999992</v>
      </c>
      <c r="DT40" s="110">
        <v>-41.108995200000003</v>
      </c>
      <c r="DU40" s="111">
        <v>333.863698</v>
      </c>
      <c r="DV40" s="376"/>
      <c r="DW40" s="125">
        <v>-1.4759631099999999E-8</v>
      </c>
      <c r="DX40" s="121">
        <v>1.04912322E-5</v>
      </c>
      <c r="DY40" s="121">
        <v>2.47179709E-3</v>
      </c>
      <c r="DZ40" s="122">
        <v>5.7991396899999996</v>
      </c>
      <c r="EA40" s="110">
        <v>-1.7586943600000001E-4</v>
      </c>
      <c r="EB40" s="110">
        <v>-0.16103747900000001</v>
      </c>
      <c r="EC40" s="421">
        <v>506.58347400000002</v>
      </c>
      <c r="ED40" s="420"/>
      <c r="EE40" s="110">
        <v>1.5028230700000001E-3</v>
      </c>
      <c r="EF40" s="110">
        <v>-6.3517543699999998E-2</v>
      </c>
      <c r="EG40" s="110">
        <v>0.60112939399999998</v>
      </c>
      <c r="EH40" s="110">
        <v>-19.483217400000001</v>
      </c>
      <c r="EI40" s="111">
        <v>491.41919100000001</v>
      </c>
      <c r="EJ40" s="376"/>
      <c r="EK40" s="112">
        <v>-5.8490679099999999E-8</v>
      </c>
      <c r="EL40" s="110">
        <v>5.0714589599999997E-5</v>
      </c>
      <c r="EM40" s="110">
        <v>-1.53317308E-3</v>
      </c>
      <c r="EN40" s="111">
        <v>9.2756097200000003</v>
      </c>
      <c r="EO40" s="394">
        <v>1.45371261E-5</v>
      </c>
      <c r="EP40" s="394">
        <v>-0.1043705</v>
      </c>
      <c r="EQ40" s="430">
        <v>653.57261700000004</v>
      </c>
      <c r="ER40" s="137">
        <v>36</v>
      </c>
      <c r="ES40" s="362"/>
      <c r="ET40" s="137">
        <v>36</v>
      </c>
      <c r="EU40" s="362"/>
      <c r="EV40" s="137">
        <f>EX40</f>
        <v>35.5</v>
      </c>
      <c r="EW40" s="362"/>
      <c r="EX40" s="137">
        <v>35.5</v>
      </c>
      <c r="EY40" s="362"/>
      <c r="EZ40" s="137">
        <f t="shared" ref="EZ40:EZ46" si="203">IF($BK$17="11",FA40,IF($BK$17="21",FA40,IF($BK$17="12",FC40,IF($BK$17="22",FC40,IF($BK$17="13",FD40,IF($BK$17="23",FD40,IF($BK$17="14",FB40,IF($BK$17="24",FB40,IF($BK$17="31",FE40,IF($BK$17="41",FE40,IF($BK$17="32",FG40,IF($BK$17="42",FG40,IF($BK$17="33",FH40,IF($BK$17="43",FH40,IF($BK$17="34",FF40,IF($BK$17="44",FF40,))))))))))))))))</f>
        <v>17.5</v>
      </c>
      <c r="FA40" s="143">
        <f>Tavg_cold</f>
        <v>17</v>
      </c>
      <c r="FB40" s="143">
        <f t="shared" ref="FB40:FB46" si="204">IF($GC40&lt;=$FC40,$FC40,IF($FM40&lt;=$FP40,$FC40,$FZ40))</f>
        <v>17.5</v>
      </c>
      <c r="FC40" s="143">
        <f t="shared" ref="FC40:FC46" si="205">IF($N40&gt;$FN40,Tavg_cold+(0.5*(Tr_cool-Tavg_cold)),Tavg_cold+($FJ40*(Tr_cool-Tavg_cold)))</f>
        <v>17.5</v>
      </c>
      <c r="FD40" s="143">
        <f t="shared" ref="FD40:FD46" si="206">IF($GC40&lt;=$FC40,$FC40,IF($FM40&lt;=$FP40,$FC40,$FZ40))</f>
        <v>17.5</v>
      </c>
      <c r="FE40" s="145">
        <f>FH40*1.04</f>
        <v>18.2</v>
      </c>
      <c r="FF40" s="497">
        <f t="shared" ref="FF40:FF46" si="207">IF($GC40&lt;=$FU40,$FU40,IF($FM40&lt;=$FP40,Tavg_cold,$GA40))</f>
        <v>17.5</v>
      </c>
      <c r="FG40" s="497">
        <f>FH40*1.05</f>
        <v>18.375</v>
      </c>
      <c r="FH40" s="497">
        <f t="shared" ref="FH40:FH46" si="208">IF($GC40&lt;=$FU40,$FU40,IF($FM40&lt;=$FP40,Tavg_cold,$GA40))</f>
        <v>17.5</v>
      </c>
      <c r="FJ40" s="344">
        <f t="shared" ref="FJ40:FJ46" si="209">0.5*(1-((FN40-N40)/FN40))</f>
        <v>0.5</v>
      </c>
      <c r="FK40" s="241">
        <f t="shared" ref="FK40:FK46" si="210">(0.025*Tl_cool)+0.5</f>
        <v>1.175</v>
      </c>
      <c r="FL40" s="495">
        <f t="shared" ref="FL40:FL46" si="211">(0.13*Tl_cool)-2.04</f>
        <v>1.4700000000000002</v>
      </c>
      <c r="FM40" s="230">
        <f>FQ40/FO40</f>
        <v>0.67938677225977528</v>
      </c>
      <c r="FN40" s="226">
        <f>DU40</f>
        <v>333.863698</v>
      </c>
      <c r="FO40" s="226">
        <f>EI40</f>
        <v>491.41919100000001</v>
      </c>
      <c r="FP40" s="222">
        <f>FN40/FO40</f>
        <v>0.67938677225977528</v>
      </c>
      <c r="FQ40" s="238">
        <f t="shared" ref="FQ40:FQ46" si="212">N40/Cubics</f>
        <v>333.863698</v>
      </c>
      <c r="FR40" s="241">
        <f t="shared" ref="FR40:FR46" si="213">IF(FQ40-(FP40*FO40)&lt;=0,0,FQ40-(FP40*FO40))</f>
        <v>0</v>
      </c>
      <c r="FS40" s="242">
        <f>FO40*(1-FP40)</f>
        <v>157.55549299999998</v>
      </c>
      <c r="FT40" s="248">
        <f>IF((FR40/FS40)&gt;1,1,FR40/FS40)</f>
        <v>0</v>
      </c>
      <c r="FU40" s="224">
        <f>FC40</f>
        <v>17.5</v>
      </c>
      <c r="FV40" s="219">
        <f t="shared" ref="FV40:FV46" si="214">Tr_cool*FK40</f>
        <v>21.150000000000002</v>
      </c>
      <c r="FW40" s="224">
        <f>ABS(FV40-FU40)</f>
        <v>3.6500000000000021</v>
      </c>
      <c r="FX40" s="224">
        <f t="shared" ref="FX40:FX46" si="215">Tv_cool*FL40</f>
        <v>23.520000000000003</v>
      </c>
      <c r="FY40" s="224">
        <f>ABS(FX40-FU40)</f>
        <v>6.0200000000000031</v>
      </c>
      <c r="FZ40" s="224">
        <f>IF(FM40&lt;=FP40,FU40,FU40+(FT40*FW40))</f>
        <v>17.5</v>
      </c>
      <c r="GA40" s="500">
        <f t="shared" ref="GA40:GA46" si="216">FU40+(FT40*FY40)</f>
        <v>17.5</v>
      </c>
      <c r="GC40" s="161">
        <f t="shared" ref="GC40:GC46" si="217">(237.3*LN((RH*EXP(17.27*(Tl_cool/(Tl_cool+237.3))))))/(17.27-LN((RH*EXP(17.27*(Tl_cool/(Tl_cool+237.3))))))</f>
        <v>15.69066559142683</v>
      </c>
      <c r="GE40" s="259">
        <f t="shared" ref="GE40:GE46" si="218">(H40-G40)/H40</f>
        <v>0</v>
      </c>
      <c r="GG40" s="305">
        <f t="shared" ref="GG40:GG46" si="219">(611*EXP(17.27*(Tl_heat/(Tl_heat+237.7))))</f>
        <v>2334.1781978570243</v>
      </c>
      <c r="GH40" s="305">
        <f t="shared" ref="GH40:GH46" si="220">(611*EXP(17.27*((($P40-Celc2)/Celc1)/((($P40-Celc2)/Celc1)+237.7))))</f>
        <v>17848.343216382367</v>
      </c>
      <c r="GI40" s="305">
        <f t="shared" ref="GI40:GI46" si="221">RH*$GG40</f>
        <v>1167.0890989285122</v>
      </c>
      <c r="GJ40" s="305">
        <f t="shared" ref="GJ40:GJ46" si="222">(GL40*p_atm)/(GL40+0.622)</f>
        <v>1167.0890989285119</v>
      </c>
      <c r="GK40" s="305">
        <f t="shared" ref="GK40:GK46" si="223">0.622*($GI40/(p_atm-$GI40))</f>
        <v>7.2478490515896785E-3</v>
      </c>
      <c r="GL40" s="305">
        <f t="shared" si="15"/>
        <v>7.2478490515896785E-3</v>
      </c>
      <c r="GM40" s="305">
        <f t="shared" ref="GM40:GM46" si="224">(1.005*Tl_heat)+($GK40*(2500+(1.87*Tl_heat)))</f>
        <v>38.490692183503647</v>
      </c>
      <c r="GN40" s="305">
        <f t="shared" ref="GN40:GN46" si="225">(1.005*(($P40-Celc2)/Celc1))+($GL40*(2500+(1.87*(($P40-Celc2)/Celc1))))</f>
        <v>76.917183361687449</v>
      </c>
      <c r="GO40" s="306">
        <f t="shared" si="16"/>
        <v>6.5389212028222427E-2</v>
      </c>
      <c r="GQ40" s="305">
        <f t="shared" ref="GQ40:GQ46" si="226">(611*EXP(17.27*(Tl_cool/(Tl_cool+237.7))))</f>
        <v>3557.0118570174286</v>
      </c>
      <c r="GR40" s="305">
        <f t="shared" ref="GR40:GR46" si="227">(611*EXP(17.27*((($R40-Celc2)/Celc1)/((($R40-Celc2)/Celc1)+237.7))))</f>
        <v>2332.6841658434032</v>
      </c>
      <c r="GS40" s="305">
        <f t="shared" ref="GS40:GS46" si="228">RH*$GQ40</f>
        <v>1778.5059285087143</v>
      </c>
      <c r="GT40" s="305">
        <f t="shared" ref="GT40:GT46" si="229">(GW40*p_atm)/(GW40+0.622)</f>
        <v>1778.5059285087143</v>
      </c>
      <c r="GU40" s="305">
        <f t="shared" ref="GU40:GU46" si="230">T40*GR40</f>
        <v>1778.5059285087143</v>
      </c>
      <c r="GV40" s="307">
        <f t="shared" ref="GV40:GV46" si="231">0.622*($GS40/(p_atm-$GS40))</f>
        <v>1.1112703645172665E-2</v>
      </c>
      <c r="GW40" s="307">
        <f t="shared" ref="GW40:GW46" si="232">IF(H40=G40,GV40,(0.53475935828878*($GZ40-(1.005*(($R40-Celc2)/Celc1))))/(1336.8983957219))</f>
        <v>1.1112703645172665E-2</v>
      </c>
      <c r="GX40" s="305">
        <f t="shared" ref="GX40:GX46" si="233">0.622*($GU40/(p_atm-$GU40))</f>
        <v>1.1112703645172665E-2</v>
      </c>
      <c r="GY40" s="305">
        <f t="shared" ref="GY40:GY46" si="234">(1.005*Tl_cool)+($GV40*(2500+(1.87*Tl_cool)))</f>
        <v>55.477839519976428</v>
      </c>
      <c r="GZ40" s="305">
        <f t="shared" ref="GZ40:GZ46" si="235">GY40-((((H40-G40)/Watts)/1000)/(N40/$L$15))</f>
        <v>55.477839519976428</v>
      </c>
      <c r="HA40" s="305">
        <f t="shared" ref="HA40:HA46" si="236">(1.005*(($R40-Celc2)/Celc1))+($GX40*(2500+(1.87*(($R40-Celc2)/Celc1))))</f>
        <v>48.286749708959334</v>
      </c>
      <c r="HB40" s="305">
        <f t="shared" si="17"/>
        <v>19.415087041495514</v>
      </c>
      <c r="HC40" s="305">
        <f t="shared" si="18"/>
        <v>19.415087041495514</v>
      </c>
      <c r="HD40" s="529">
        <f t="shared" ref="HD40:HD46" si="237">H40</f>
        <v>787.46513030970436</v>
      </c>
      <c r="HE40" s="57">
        <f t="shared" si="7"/>
        <v>333.863698</v>
      </c>
      <c r="HF40" s="57">
        <f t="shared" ref="HF40:HF46" si="238">IF(Geg_dP&lt;$AB40,((($BL$40*($HE40/Cubics)^4+$BL$41*($HE40/Cubics)^3+$BL$43*($HE40/Cubics)^2+$BL$45*($HE40/Cubics)^1+$BL$46)*((CF_Regime_Cool_noExp)^$Y40)))*CF_Addit*Watts*CF_Altit,Lim_dP)</f>
        <v>787.46513030970436</v>
      </c>
      <c r="HG40" s="525">
        <f t="shared" si="9"/>
        <v>17.5</v>
      </c>
      <c r="HH40" s="57">
        <f t="shared" si="10"/>
        <v>17.5</v>
      </c>
      <c r="HI40" s="503">
        <f t="shared" si="75"/>
        <v>787.46513030970436</v>
      </c>
      <c r="HJ40" s="2">
        <f t="shared" si="90"/>
        <v>1</v>
      </c>
      <c r="HK40" s="503">
        <f t="shared" si="76"/>
        <v>787.46513030970436</v>
      </c>
      <c r="HL40" s="344">
        <f t="shared" ref="HL40:HL46" si="239">0.5*(1-((HP40-HE40)/HP40))</f>
        <v>0.5</v>
      </c>
      <c r="HM40" s="241">
        <f t="shared" ref="HM40:HM46" si="240">(0.025*Tl_cool)+0.5</f>
        <v>1.175</v>
      </c>
      <c r="HN40" s="495">
        <f t="shared" ref="HN40:HN46" si="241">(0.13*Tl_cool)-2.04</f>
        <v>1.4700000000000002</v>
      </c>
      <c r="HO40" s="230">
        <f>HS40/HQ40</f>
        <v>0.67938677225977528</v>
      </c>
      <c r="HP40" s="226">
        <f t="shared" ref="HP40:HP46" si="242">DU40</f>
        <v>333.863698</v>
      </c>
      <c r="HQ40" s="226">
        <f t="shared" si="80"/>
        <v>491.41919100000001</v>
      </c>
      <c r="HR40" s="222">
        <f>HP40/HQ40</f>
        <v>0.67938677225977528</v>
      </c>
      <c r="HS40" s="251">
        <f t="shared" si="11"/>
        <v>333.863698</v>
      </c>
      <c r="HT40" s="241">
        <f t="shared" ref="HT40:HT46" si="243">IF(HS40-(HR40*HQ40)&lt;=0,0,HS40-(HR40*HQ40))</f>
        <v>0</v>
      </c>
      <c r="HU40" s="242">
        <f>HQ40*(1-HR40)</f>
        <v>157.55549299999998</v>
      </c>
      <c r="HV40" s="248">
        <f>IF((HT40/HU40)&gt;1,1,HT40/HU40)</f>
        <v>0</v>
      </c>
      <c r="HW40" s="224">
        <f t="shared" si="12"/>
        <v>17.5</v>
      </c>
      <c r="HX40" s="219">
        <f t="shared" ref="HX40:HX46" si="244">Tr_cool*HM40</f>
        <v>21.150000000000002</v>
      </c>
      <c r="HY40" s="224">
        <f>ABS(HX40-HW40)</f>
        <v>3.6500000000000021</v>
      </c>
      <c r="HZ40" s="224">
        <f t="shared" ref="HZ40:HZ46" si="245">Tv_cool*HN40</f>
        <v>23.520000000000003</v>
      </c>
      <c r="IA40" s="224">
        <f>ABS(HZ40-HW40)</f>
        <v>6.0200000000000031</v>
      </c>
      <c r="IB40" s="224">
        <f>IF(HO40&lt;=HR40,HW40,HW40+(HV40*HY40))</f>
        <v>17.5</v>
      </c>
      <c r="IC40" s="500">
        <f t="shared" ref="IC40:IC46" si="246">HW40+(HV40*IA40)</f>
        <v>17.5</v>
      </c>
      <c r="IE40" s="161">
        <f t="shared" ref="IE40:IE46" si="247">(237.3*LN((RH*EXP(17.27*(Tl_cool/(Tl_cool+237.3))))))/(17.27-LN((RH*EXP(17.27*(Tl_cool/(Tl_cool+237.3))))))</f>
        <v>15.69066559142683</v>
      </c>
      <c r="IG40" s="259">
        <f t="shared" ref="IG40:IG46" si="248">(BG40-BF40)/BG40</f>
        <v>6.1648013234821483E-2</v>
      </c>
      <c r="II40" s="305">
        <f t="shared" ref="II40:II46" si="249">(611*EXP(17.27*(Tl_heat/(Tl_heat+237.7))))</f>
        <v>2334.1781978570243</v>
      </c>
      <c r="IJ40" s="305">
        <f t="shared" ref="IJ40:IJ46" si="250">(611*EXP(17.27*((($P40-Celc2)/Celc1)/((($P40-Celc2)/Celc1)+237.7))))</f>
        <v>17848.343216382367</v>
      </c>
    </row>
    <row r="41" spans="2:244" ht="15" customHeight="1" x14ac:dyDescent="0.25">
      <c r="B41" s="195">
        <f>IF($AL$5=1,$C41/10,IF($AL$5=2,$C41/10,IF($AL$5=3,0,IF($AL$5=4,$C41/10,))))</f>
        <v>0.4</v>
      </c>
      <c r="C41" s="336">
        <v>4</v>
      </c>
      <c r="D41" s="329">
        <f t="shared" si="183"/>
        <v>7376.4964845777067</v>
      </c>
      <c r="E41" s="30">
        <f t="shared" si="184"/>
        <v>634</v>
      </c>
      <c r="F41" s="330">
        <f t="shared" si="185"/>
        <v>4.2047808408493932</v>
      </c>
      <c r="G41" s="329">
        <f t="shared" si="186"/>
        <v>1367.0915050620499</v>
      </c>
      <c r="H41" s="32">
        <f t="shared" si="187"/>
        <v>1367.0915050620499</v>
      </c>
      <c r="I41" s="30">
        <f>IF(Geg_dP&lt;AB41,ROUND(((IF('Briza 22 &amp; 26'!$M$4="High Perform. 208/230V (US/EU)",cal!HK41,H41)/Watts)/((Tr_cool-Tv_cool)*1.163))*FlowH2O,IF(UnitsNo=1,0,IF(UnitsNo=2,2))),"")</f>
        <v>588</v>
      </c>
      <c r="J41" s="330">
        <f t="shared" si="188"/>
        <v>3.6580296935028449</v>
      </c>
      <c r="K41" s="333">
        <f t="shared" si="189"/>
        <v>36</v>
      </c>
      <c r="L41" s="297">
        <f>IF(Geg_dP&lt;$AB41,IF(CalcNo="12",$ET41,IF(CalcNo="22",$ET41,IF(CalcNo="13",$EU41,IF(CalcNo="23",$EU41,IF(CalcNo="11",$ER41,IF(CalcNo="21",$ER41,IF(CalcNo="14",$ES41,IF(CalcNo="24",$ES41,IF(CalcNo="32",$EX41,IF(CalcNo="42",$EX41,IF(CalcNo="33",$EY41,IF(CalcNo="43",$EY41,IF(CalcNo="31",$EV41,IF(CalcNo="41",$EV41,IF(CalcNo="34",$EW41,IF(CalcNo="44",$EW41,)))))))))))))))),"")</f>
        <v>44</v>
      </c>
      <c r="M41" s="198">
        <f t="shared" si="190"/>
        <v>17.456415028346257</v>
      </c>
      <c r="N41" s="197">
        <f t="shared" si="191"/>
        <v>614.41624300000001</v>
      </c>
      <c r="O41" s="480">
        <f t="shared" si="192"/>
        <v>0.62062246767676765</v>
      </c>
      <c r="P41" s="198">
        <f t="shared" si="193"/>
        <v>55.240595578604662</v>
      </c>
      <c r="Q41" s="297">
        <f t="shared" si="194"/>
        <v>24.638112698201851</v>
      </c>
      <c r="R41" s="509">
        <f t="shared" si="195"/>
        <v>20.386780625775728</v>
      </c>
      <c r="S41" s="36">
        <f t="shared" si="196"/>
        <v>17.273083165092565</v>
      </c>
      <c r="T41" s="300">
        <f t="shared" si="197"/>
        <v>0.74396656712355214</v>
      </c>
      <c r="U41" s="416">
        <f t="shared" si="198"/>
        <v>645.616528470606</v>
      </c>
      <c r="V41" s="483">
        <f t="shared" si="199"/>
        <v>0.1022809777866607</v>
      </c>
      <c r="W41" s="513">
        <f t="shared" si="200"/>
        <v>2.2250250064792803</v>
      </c>
      <c r="X41" s="56">
        <f t="shared" si="1"/>
        <v>0.99324299999999999</v>
      </c>
      <c r="Y41" s="56">
        <f t="shared" si="166"/>
        <v>1.23546</v>
      </c>
      <c r="Z41" s="56">
        <f t="shared" si="167"/>
        <v>1.10433</v>
      </c>
      <c r="AA41" s="56">
        <f t="shared" si="13"/>
        <v>0.99324299999999999</v>
      </c>
      <c r="AB41" s="56">
        <f t="shared" si="14"/>
        <v>30.18</v>
      </c>
      <c r="AC41" s="95">
        <v>0.99324299999999999</v>
      </c>
      <c r="AD41" s="95">
        <v>1.23546</v>
      </c>
      <c r="AE41" s="95">
        <v>1.10433</v>
      </c>
      <c r="AF41" s="96">
        <v>24</v>
      </c>
      <c r="AG41" s="95">
        <v>0.99324299999999999</v>
      </c>
      <c r="AH41" s="95">
        <v>1.23546</v>
      </c>
      <c r="AI41" s="95">
        <v>1.10433</v>
      </c>
      <c r="AJ41" s="486">
        <v>34</v>
      </c>
      <c r="AK41" s="487">
        <v>0.99324299999999999</v>
      </c>
      <c r="AL41" s="487">
        <v>1.23546</v>
      </c>
      <c r="AM41" s="487">
        <v>1.10433</v>
      </c>
      <c r="AN41" s="486">
        <v>30.18</v>
      </c>
      <c r="AO41" s="487">
        <v>1.0288573703986699</v>
      </c>
      <c r="AP41" s="487">
        <v>1.5348139398733884</v>
      </c>
      <c r="AQ41" s="487">
        <v>1.1401126388667442</v>
      </c>
      <c r="AR41" s="486">
        <v>74.38</v>
      </c>
      <c r="AS41" s="487">
        <v>0.99324299999999999</v>
      </c>
      <c r="AT41" s="487">
        <v>1.23546</v>
      </c>
      <c r="AU41" s="487">
        <v>1.10433</v>
      </c>
      <c r="AV41" s="486">
        <f t="shared" si="179"/>
        <v>24</v>
      </c>
      <c r="AW41" s="487">
        <v>0.99324299999999999</v>
      </c>
      <c r="AX41" s="487">
        <v>1.23546</v>
      </c>
      <c r="AY41" s="487">
        <v>1.10433</v>
      </c>
      <c r="AZ41" s="486">
        <f t="shared" si="180"/>
        <v>34</v>
      </c>
      <c r="BA41" s="95">
        <v>0.99330580285782832</v>
      </c>
      <c r="BB41" s="95">
        <v>1.2349800450330226</v>
      </c>
      <c r="BC41" s="95">
        <v>1.1045610713258731</v>
      </c>
      <c r="BD41" s="96">
        <f t="shared" si="181"/>
        <v>30.18</v>
      </c>
      <c r="BE41" s="95">
        <v>0.97569608354351034</v>
      </c>
      <c r="BF41" s="95">
        <v>1.0199429606771673</v>
      </c>
      <c r="BG41" s="95">
        <v>1.0869513520115845</v>
      </c>
      <c r="BH41" s="96">
        <f t="shared" si="182"/>
        <v>74.38</v>
      </c>
      <c r="BJ41" s="182"/>
      <c r="BK41" s="82">
        <f t="shared" si="201"/>
        <v>0</v>
      </c>
      <c r="BL41" s="83">
        <f t="shared" si="201"/>
        <v>0</v>
      </c>
      <c r="BM41" s="87">
        <f t="shared" si="201"/>
        <v>1.8493599999999999</v>
      </c>
      <c r="BN41" s="97"/>
      <c r="BO41" s="97"/>
      <c r="BP41" s="106">
        <f>BP46</f>
        <v>1.8493599999999999</v>
      </c>
      <c r="BQ41" s="97"/>
      <c r="BR41" s="97">
        <f>BO41</f>
        <v>0</v>
      </c>
      <c r="BS41" s="106">
        <v>1.816675973943781</v>
      </c>
      <c r="BT41" s="97"/>
      <c r="BU41" s="97"/>
      <c r="BV41" s="106">
        <f>BV46</f>
        <v>1.88247875</v>
      </c>
      <c r="BW41" s="97"/>
      <c r="BX41" s="97"/>
      <c r="BY41" s="106">
        <f>BS41</f>
        <v>1.816675973943781</v>
      </c>
      <c r="BZ41" s="131">
        <f t="shared" si="202"/>
        <v>0</v>
      </c>
      <c r="CA41" s="132">
        <f t="shared" si="202"/>
        <v>1.1642743800000001E-3</v>
      </c>
      <c r="CB41" s="132">
        <f t="shared" si="202"/>
        <v>-7.1339884300000003E-2</v>
      </c>
      <c r="CC41" s="132">
        <f t="shared" si="202"/>
        <v>1.1753532200000001</v>
      </c>
      <c r="CD41" s="132">
        <f t="shared" si="202"/>
        <v>-21.6618605</v>
      </c>
      <c r="CE41" s="133">
        <f t="shared" si="202"/>
        <v>614.41624300000001</v>
      </c>
      <c r="CF41" s="131">
        <f t="shared" si="202"/>
        <v>0</v>
      </c>
      <c r="CG41" s="132">
        <f t="shared" si="202"/>
        <v>-2.4987109300000001E-8</v>
      </c>
      <c r="CH41" s="132">
        <f t="shared" si="202"/>
        <v>2.7711617499999999E-5</v>
      </c>
      <c r="CI41" s="132">
        <f t="shared" si="202"/>
        <v>4.0755248299999998E-3</v>
      </c>
      <c r="CJ41" s="132">
        <f t="shared" si="202"/>
        <v>10.286683699999999</v>
      </c>
      <c r="CK41" s="131">
        <f t="shared" si="202"/>
        <v>-1.2965119300000001E-4</v>
      </c>
      <c r="CL41" s="132">
        <f t="shared" si="202"/>
        <v>-0.15842084300000001</v>
      </c>
      <c r="CM41" s="133">
        <f t="shared" si="202"/>
        <v>791.89714200000003</v>
      </c>
      <c r="CN41" s="357"/>
      <c r="CO41" s="113">
        <v>4.6837592900000002E-4</v>
      </c>
      <c r="CP41" s="113">
        <v>-2.0594268900000001E-2</v>
      </c>
      <c r="CQ41" s="113">
        <v>0.22377962700000001</v>
      </c>
      <c r="CR41" s="113">
        <v>-16.1634061</v>
      </c>
      <c r="CS41" s="114">
        <v>394.91803199999998</v>
      </c>
      <c r="CT41" s="357"/>
      <c r="CU41" s="115">
        <v>-1.7293676799999999E-10</v>
      </c>
      <c r="CV41" s="113">
        <v>4.3564957700000002E-6</v>
      </c>
      <c r="CW41" s="113">
        <v>6.8184890900000001E-3</v>
      </c>
      <c r="CX41" s="116">
        <v>9.2735227899999995</v>
      </c>
      <c r="CY41" s="113">
        <v>-2.3354194699999999E-4</v>
      </c>
      <c r="CZ41" s="113">
        <v>2.46298405E-2</v>
      </c>
      <c r="DA41" s="423">
        <v>579.95452699999998</v>
      </c>
      <c r="DB41" s="357"/>
      <c r="DC41" s="113">
        <v>-9.3992982799999996E-5</v>
      </c>
      <c r="DD41" s="113">
        <v>7.1027865500000002E-3</v>
      </c>
      <c r="DE41" s="113">
        <v>-0.26698027299999999</v>
      </c>
      <c r="DF41" s="113">
        <v>-13.1982894</v>
      </c>
      <c r="DG41" s="114">
        <v>633.385627</v>
      </c>
      <c r="DH41" s="357"/>
      <c r="DI41" s="115">
        <v>-9.9726673699999997E-9</v>
      </c>
      <c r="DJ41" s="113">
        <v>1.23083568E-5</v>
      </c>
      <c r="DK41" s="113">
        <v>8.1612070000000002E-3</v>
      </c>
      <c r="DL41" s="116">
        <v>13.1623185</v>
      </c>
      <c r="DM41" s="113">
        <v>1.03911902E-4</v>
      </c>
      <c r="DN41" s="113">
        <v>-0.17735683099999999</v>
      </c>
      <c r="DO41" s="423">
        <v>905.23184600000002</v>
      </c>
      <c r="DP41" s="422"/>
      <c r="DQ41" s="113">
        <v>1.1642743800000001E-3</v>
      </c>
      <c r="DR41" s="113">
        <v>-7.1339884300000003E-2</v>
      </c>
      <c r="DS41" s="113">
        <v>1.1753532200000001</v>
      </c>
      <c r="DT41" s="113">
        <v>-21.6618605</v>
      </c>
      <c r="DU41" s="114">
        <v>614.41624300000001</v>
      </c>
      <c r="DV41" s="378"/>
      <c r="DW41" s="126">
        <v>-2.4987109300000001E-8</v>
      </c>
      <c r="DX41" s="120">
        <v>2.7711617499999999E-5</v>
      </c>
      <c r="DY41" s="120">
        <v>4.0755248299999998E-3</v>
      </c>
      <c r="DZ41" s="114">
        <v>10.286683699999999</v>
      </c>
      <c r="EA41" s="113">
        <v>-1.2965119300000001E-4</v>
      </c>
      <c r="EB41" s="113">
        <v>-0.15842084300000001</v>
      </c>
      <c r="EC41" s="423">
        <v>791.89714200000003</v>
      </c>
      <c r="ED41" s="422"/>
      <c r="EE41" s="113">
        <v>2.52191543E-5</v>
      </c>
      <c r="EF41" s="113">
        <v>-4.03221966E-3</v>
      </c>
      <c r="EG41" s="113">
        <v>0.150854342</v>
      </c>
      <c r="EH41" s="113">
        <v>-12.974035900000001</v>
      </c>
      <c r="EI41" s="116">
        <v>1054.95399</v>
      </c>
      <c r="EJ41" s="378"/>
      <c r="EK41" s="115">
        <v>-2.51712998E-8</v>
      </c>
      <c r="EL41" s="113">
        <v>4.6460199400000003E-5</v>
      </c>
      <c r="EM41" s="113">
        <v>7.3271992200000004E-3</v>
      </c>
      <c r="EN41" s="116">
        <v>23.2550569</v>
      </c>
      <c r="EO41" s="395">
        <v>-2.2932890800000001E-5</v>
      </c>
      <c r="EP41" s="395">
        <v>-8.2778044199999998E-2</v>
      </c>
      <c r="EQ41" s="433">
        <v>1159.2224000000001</v>
      </c>
      <c r="ER41" s="137">
        <v>44</v>
      </c>
      <c r="ES41" s="365"/>
      <c r="ET41" s="137">
        <v>44</v>
      </c>
      <c r="EU41" s="365"/>
      <c r="EV41" s="137">
        <f>EX41</f>
        <v>46</v>
      </c>
      <c r="EW41" s="365"/>
      <c r="EX41" s="137">
        <v>46</v>
      </c>
      <c r="EY41" s="365"/>
      <c r="EZ41" s="137">
        <f t="shared" si="203"/>
        <v>17.5</v>
      </c>
      <c r="FA41" s="143">
        <f>Tavg_cold</f>
        <v>17</v>
      </c>
      <c r="FB41" s="143">
        <f t="shared" si="204"/>
        <v>17.5</v>
      </c>
      <c r="FC41" s="143">
        <f t="shared" si="205"/>
        <v>17.5</v>
      </c>
      <c r="FD41" s="143">
        <f t="shared" si="206"/>
        <v>17.5</v>
      </c>
      <c r="FE41" s="145">
        <f t="shared" ref="FE41:FE46" si="251">FH41*1.04</f>
        <v>18.2</v>
      </c>
      <c r="FF41" s="497">
        <f t="shared" si="207"/>
        <v>17.5</v>
      </c>
      <c r="FG41" s="497">
        <f>FH41*1.05</f>
        <v>18.375</v>
      </c>
      <c r="FH41" s="497">
        <f t="shared" si="208"/>
        <v>17.5</v>
      </c>
      <c r="FJ41" s="344">
        <f t="shared" si="209"/>
        <v>0.5</v>
      </c>
      <c r="FK41" s="241">
        <f t="shared" si="210"/>
        <v>1.175</v>
      </c>
      <c r="FL41" s="495">
        <f t="shared" si="211"/>
        <v>1.4700000000000002</v>
      </c>
      <c r="FM41" s="230">
        <f t="shared" ref="FM41:FM46" si="252">FQ41/FO41</f>
        <v>0.58241046417578834</v>
      </c>
      <c r="FN41" s="226">
        <f>DU41</f>
        <v>614.41624300000001</v>
      </c>
      <c r="FO41" s="226">
        <f>EI41</f>
        <v>1054.95399</v>
      </c>
      <c r="FP41" s="222">
        <f>FN41/FO41</f>
        <v>0.58241046417578834</v>
      </c>
      <c r="FQ41" s="238">
        <f t="shared" si="212"/>
        <v>614.41624300000001</v>
      </c>
      <c r="FR41" s="241">
        <f t="shared" si="213"/>
        <v>0</v>
      </c>
      <c r="FS41" s="242">
        <f t="shared" ref="FS41:FS46" si="253">FO41*(1-FP41)</f>
        <v>440.53774700000002</v>
      </c>
      <c r="FT41" s="248">
        <f t="shared" ref="FT41:FT46" si="254">IF((FR41/FS41)&gt;1,1,FR41/FS41)</f>
        <v>0</v>
      </c>
      <c r="FU41" s="224">
        <f>FC41</f>
        <v>17.5</v>
      </c>
      <c r="FV41" s="219">
        <f t="shared" si="214"/>
        <v>21.150000000000002</v>
      </c>
      <c r="FW41" s="224">
        <f>ABS(FV41-FU41)</f>
        <v>3.6500000000000021</v>
      </c>
      <c r="FX41" s="224">
        <f t="shared" si="215"/>
        <v>23.520000000000003</v>
      </c>
      <c r="FY41" s="224">
        <f>ABS(FX41-FU41)</f>
        <v>6.0200000000000031</v>
      </c>
      <c r="FZ41" s="224">
        <f>IF(FM41&lt;=FP41,FU41,FU41+(FT41*FW41))</f>
        <v>17.5</v>
      </c>
      <c r="GA41" s="500">
        <f t="shared" si="216"/>
        <v>17.5</v>
      </c>
      <c r="GC41" s="161">
        <f t="shared" si="217"/>
        <v>15.69066559142683</v>
      </c>
      <c r="GE41" s="259">
        <f t="shared" si="218"/>
        <v>0</v>
      </c>
      <c r="GG41" s="305">
        <f t="shared" si="219"/>
        <v>2334.1781978570243</v>
      </c>
      <c r="GH41" s="305">
        <f t="shared" si="220"/>
        <v>15863.042056621447</v>
      </c>
      <c r="GI41" s="305">
        <f t="shared" si="221"/>
        <v>1167.0890989285122</v>
      </c>
      <c r="GJ41" s="305">
        <f t="shared" si="222"/>
        <v>1167.0890989285119</v>
      </c>
      <c r="GK41" s="305">
        <f t="shared" si="223"/>
        <v>7.2478490515896785E-3</v>
      </c>
      <c r="GL41" s="305">
        <f t="shared" si="15"/>
        <v>7.2478490515896785E-3</v>
      </c>
      <c r="GM41" s="305">
        <f t="shared" si="224"/>
        <v>38.490692183503647</v>
      </c>
      <c r="GN41" s="305">
        <f t="shared" si="225"/>
        <v>74.38512336724358</v>
      </c>
      <c r="GO41" s="306">
        <f t="shared" si="16"/>
        <v>7.3572842760090476E-2</v>
      </c>
      <c r="GQ41" s="305">
        <f t="shared" si="226"/>
        <v>3557.0118570174286</v>
      </c>
      <c r="GR41" s="305">
        <f t="shared" si="227"/>
        <v>2390.5723820158628</v>
      </c>
      <c r="GS41" s="305">
        <f t="shared" si="228"/>
        <v>1778.5059285087143</v>
      </c>
      <c r="GT41" s="305">
        <f t="shared" si="229"/>
        <v>1778.5059285087143</v>
      </c>
      <c r="GU41" s="305">
        <f t="shared" si="230"/>
        <v>1778.5059285087143</v>
      </c>
      <c r="GV41" s="307">
        <f t="shared" si="231"/>
        <v>1.1112703645172665E-2</v>
      </c>
      <c r="GW41" s="307">
        <f t="shared" si="232"/>
        <v>1.1112703645172665E-2</v>
      </c>
      <c r="GX41" s="305">
        <f t="shared" si="233"/>
        <v>1.1112703645172665E-2</v>
      </c>
      <c r="GY41" s="305">
        <f t="shared" si="234"/>
        <v>55.477839519976428</v>
      </c>
      <c r="GZ41" s="305">
        <f t="shared" si="235"/>
        <v>55.477839519976428</v>
      </c>
      <c r="HA41" s="305">
        <f t="shared" si="236"/>
        <v>48.694126351904515</v>
      </c>
      <c r="HB41" s="305">
        <f t="shared" si="17"/>
        <v>19.415087041495514</v>
      </c>
      <c r="HC41" s="305">
        <f t="shared" si="18"/>
        <v>19.415087041495514</v>
      </c>
      <c r="HD41" s="529">
        <f t="shared" si="237"/>
        <v>1367.0915050620499</v>
      </c>
      <c r="HE41" s="57">
        <f t="shared" si="7"/>
        <v>614.41624300000001</v>
      </c>
      <c r="HF41" s="57">
        <f t="shared" si="238"/>
        <v>1367.0915050620499</v>
      </c>
      <c r="HG41" s="525">
        <f t="shared" si="9"/>
        <v>17.5</v>
      </c>
      <c r="HH41" s="57">
        <f t="shared" si="10"/>
        <v>17.5</v>
      </c>
      <c r="HI41" s="503">
        <f t="shared" si="75"/>
        <v>1367.0915050620499</v>
      </c>
      <c r="HJ41" s="2">
        <f t="shared" si="90"/>
        <v>1</v>
      </c>
      <c r="HK41" s="503">
        <f t="shared" si="76"/>
        <v>1367.0915050620499</v>
      </c>
      <c r="HL41" s="344">
        <f t="shared" si="239"/>
        <v>0.5</v>
      </c>
      <c r="HM41" s="241">
        <f t="shared" si="240"/>
        <v>1.175</v>
      </c>
      <c r="HN41" s="495">
        <f t="shared" si="241"/>
        <v>1.4700000000000002</v>
      </c>
      <c r="HO41" s="230">
        <f t="shared" ref="HO41:HO46" si="255">HS41/HQ41</f>
        <v>0.58241046417578834</v>
      </c>
      <c r="HP41" s="226">
        <f t="shared" si="242"/>
        <v>614.41624300000001</v>
      </c>
      <c r="HQ41" s="226">
        <f t="shared" si="80"/>
        <v>1054.95399</v>
      </c>
      <c r="HR41" s="222">
        <f>HP41/HQ41</f>
        <v>0.58241046417578834</v>
      </c>
      <c r="HS41" s="251">
        <f t="shared" si="11"/>
        <v>614.41624300000001</v>
      </c>
      <c r="HT41" s="241">
        <f t="shared" si="243"/>
        <v>0</v>
      </c>
      <c r="HU41" s="242">
        <f t="shared" ref="HU41:HU46" si="256">HQ41*(1-HR41)</f>
        <v>440.53774700000002</v>
      </c>
      <c r="HV41" s="248">
        <f t="shared" ref="HV41:HV46" si="257">IF((HT41/HU41)&gt;1,1,HT41/HU41)</f>
        <v>0</v>
      </c>
      <c r="HW41" s="224">
        <f t="shared" si="12"/>
        <v>17.5</v>
      </c>
      <c r="HX41" s="219">
        <f t="shared" si="244"/>
        <v>21.150000000000002</v>
      </c>
      <c r="HY41" s="224">
        <f>ABS(HX41-HW41)</f>
        <v>3.6500000000000021</v>
      </c>
      <c r="HZ41" s="224">
        <f>Tv_cool*HN41</f>
        <v>23.520000000000003</v>
      </c>
      <c r="IA41" s="224">
        <f>ABS(HZ41-HW41)</f>
        <v>6.0200000000000031</v>
      </c>
      <c r="IB41" s="224">
        <f>IF(HO41&lt;=HR41,HW41,HW41+(HV41*HY41))</f>
        <v>17.5</v>
      </c>
      <c r="IC41" s="500">
        <f>HW41+(HV41*IA41)</f>
        <v>17.5</v>
      </c>
      <c r="IE41" s="161">
        <f t="shared" si="247"/>
        <v>15.69066559142683</v>
      </c>
      <c r="IG41" s="259">
        <f t="shared" si="248"/>
        <v>6.1648013234821483E-2</v>
      </c>
      <c r="II41" s="305">
        <f t="shared" si="249"/>
        <v>2334.1781978570243</v>
      </c>
      <c r="IJ41" s="305">
        <f t="shared" si="250"/>
        <v>15863.042056621447</v>
      </c>
    </row>
    <row r="42" spans="2:244" ht="15" customHeight="1" x14ac:dyDescent="0.25">
      <c r="B42" s="195">
        <f>IF($AL$5=1,$C42/10,IF($AL$5=2,$C42/10,IF($AL$5=3,0.25,IF($AL$5=4,$C42/10,))))</f>
        <v>0.5</v>
      </c>
      <c r="C42" s="336">
        <v>5</v>
      </c>
      <c r="D42" s="329">
        <f t="shared" si="183"/>
        <v>150.1817637989142</v>
      </c>
      <c r="E42" s="172">
        <f t="shared" si="184"/>
        <v>13</v>
      </c>
      <c r="F42" s="330">
        <f t="shared" si="185"/>
        <v>3.1750740080079519E-3</v>
      </c>
      <c r="G42" s="329">
        <f t="shared" si="186"/>
        <v>60.772153152502042</v>
      </c>
      <c r="H42" s="32">
        <f t="shared" si="187"/>
        <v>60.772153152502042</v>
      </c>
      <c r="I42" s="30">
        <f>IF(Geg_dP&lt;AB42,ROUND(((IF('Briza 22 &amp; 26'!$M$4="High Perform. 208/230V (US/EU)",cal!HK42,H42)/Watts)/((Tr_cool-Tv_cool)*1.163))*FlowH2O,IF(UnitsNo=1,0,IF(UnitsNo=2,2))),"")</f>
        <v>26</v>
      </c>
      <c r="J42" s="330">
        <f t="shared" si="188"/>
        <v>1.144107112666796E-2</v>
      </c>
      <c r="K42" s="333">
        <f t="shared" si="189"/>
        <v>0</v>
      </c>
      <c r="L42" s="297">
        <f>IF(Geg_dP&lt;$AB42,0,"")</f>
        <v>0</v>
      </c>
      <c r="M42" s="198">
        <f t="shared" si="190"/>
        <v>0</v>
      </c>
      <c r="N42" s="197">
        <f t="shared" si="191"/>
        <v>0</v>
      </c>
      <c r="O42" s="480">
        <f t="shared" si="192"/>
        <v>0</v>
      </c>
      <c r="P42" s="198" t="e">
        <f t="shared" si="193"/>
        <v>#DIV/0!</v>
      </c>
      <c r="Q42" s="297" t="e">
        <f t="shared" si="194"/>
        <v>#DIV/0!</v>
      </c>
      <c r="R42" s="509" t="e">
        <f t="shared" si="195"/>
        <v>#DIV/0!</v>
      </c>
      <c r="S42" s="36" t="e">
        <f t="shared" si="196"/>
        <v>#DIV/0!</v>
      </c>
      <c r="T42" s="300" t="e">
        <f t="shared" si="197"/>
        <v>#DIV/0!</v>
      </c>
      <c r="U42" s="416">
        <f t="shared" si="198"/>
        <v>0</v>
      </c>
      <c r="V42" s="483" t="e">
        <f t="shared" si="199"/>
        <v>#DIV/0!</v>
      </c>
      <c r="W42" s="513" t="e">
        <f t="shared" si="200"/>
        <v>#DIV/0!</v>
      </c>
      <c r="X42" s="56">
        <f t="shared" si="1"/>
        <v>0.99324299999999999</v>
      </c>
      <c r="Y42" s="56">
        <f t="shared" si="166"/>
        <v>1.23546</v>
      </c>
      <c r="Z42" s="56">
        <f t="shared" si="167"/>
        <v>1.10433</v>
      </c>
      <c r="AA42" s="56">
        <f t="shared" si="13"/>
        <v>0.99324299999999999</v>
      </c>
      <c r="AB42" s="56">
        <f t="shared" si="14"/>
        <v>44.260000000000005</v>
      </c>
      <c r="AC42" s="95">
        <v>0.99324299999999999</v>
      </c>
      <c r="AD42" s="95">
        <v>1.23546</v>
      </c>
      <c r="AE42" s="95">
        <v>1.10433</v>
      </c>
      <c r="AF42" s="96">
        <f>AF41+((AF43-AF41)/2)</f>
        <v>36</v>
      </c>
      <c r="AG42" s="95">
        <v>0.99324299999999999</v>
      </c>
      <c r="AH42" s="95">
        <v>1.23546</v>
      </c>
      <c r="AI42" s="95">
        <v>1.10433</v>
      </c>
      <c r="AJ42" s="486">
        <f>AJ41+((AJ43-AJ41)/2)</f>
        <v>54.5</v>
      </c>
      <c r="AK42" s="487">
        <v>0.99324299999999999</v>
      </c>
      <c r="AL42" s="487">
        <v>1.23546</v>
      </c>
      <c r="AM42" s="487">
        <v>1.10433</v>
      </c>
      <c r="AN42" s="486">
        <f>AN41+((AN43-AN41)/2)</f>
        <v>44.260000000000005</v>
      </c>
      <c r="AO42" s="487">
        <v>1.0288573703986699</v>
      </c>
      <c r="AP42" s="487">
        <v>1.5348139398733884</v>
      </c>
      <c r="AQ42" s="487">
        <v>1.1401126388667442</v>
      </c>
      <c r="AR42" s="486">
        <v>103</v>
      </c>
      <c r="AS42" s="487">
        <v>0.99324299999999999</v>
      </c>
      <c r="AT42" s="487">
        <v>1.23546</v>
      </c>
      <c r="AU42" s="487">
        <v>1.10433</v>
      </c>
      <c r="AV42" s="486">
        <f t="shared" si="179"/>
        <v>36</v>
      </c>
      <c r="AW42" s="487">
        <v>0.99324299999999999</v>
      </c>
      <c r="AX42" s="487">
        <v>1.23546</v>
      </c>
      <c r="AY42" s="487">
        <v>1.10433</v>
      </c>
      <c r="AZ42" s="486">
        <f t="shared" si="180"/>
        <v>54.5</v>
      </c>
      <c r="BA42" s="95">
        <v>0.99330580285782832</v>
      </c>
      <c r="BB42" s="95">
        <v>1.2349800450330226</v>
      </c>
      <c r="BC42" s="95">
        <v>1.1045610713258731</v>
      </c>
      <c r="BD42" s="96">
        <f t="shared" si="181"/>
        <v>44.260000000000005</v>
      </c>
      <c r="BE42" s="95">
        <v>0.97569608354351034</v>
      </c>
      <c r="BF42" s="95">
        <v>1.0199429606771673</v>
      </c>
      <c r="BG42" s="95">
        <v>1.0869513520115845</v>
      </c>
      <c r="BH42" s="96">
        <f t="shared" si="182"/>
        <v>103</v>
      </c>
      <c r="BJ42" s="182"/>
      <c r="BK42" s="252"/>
      <c r="BL42" s="253"/>
      <c r="BM42" s="253"/>
      <c r="BN42" s="252"/>
      <c r="BO42" s="253"/>
      <c r="BP42" s="254"/>
      <c r="BQ42" s="252"/>
      <c r="BR42" s="253"/>
      <c r="BS42" s="254"/>
      <c r="BT42" s="252"/>
      <c r="BU42" s="253"/>
      <c r="BV42" s="254"/>
      <c r="BW42" s="252"/>
      <c r="BX42" s="253"/>
      <c r="BY42" s="254"/>
      <c r="BZ42" s="131">
        <f t="shared" si="202"/>
        <v>0</v>
      </c>
      <c r="CA42" s="132">
        <f t="shared" si="202"/>
        <v>0</v>
      </c>
      <c r="CB42" s="132">
        <f t="shared" si="202"/>
        <v>0</v>
      </c>
      <c r="CC42" s="132">
        <f t="shared" si="202"/>
        <v>0</v>
      </c>
      <c r="CD42" s="132">
        <f t="shared" si="202"/>
        <v>0</v>
      </c>
      <c r="CE42" s="133">
        <f t="shared" si="202"/>
        <v>0</v>
      </c>
      <c r="CF42" s="131">
        <f t="shared" si="202"/>
        <v>0</v>
      </c>
      <c r="CG42" s="132">
        <f t="shared" si="202"/>
        <v>0</v>
      </c>
      <c r="CH42" s="132">
        <f t="shared" si="202"/>
        <v>0</v>
      </c>
      <c r="CI42" s="132">
        <f t="shared" si="202"/>
        <v>0</v>
      </c>
      <c r="CJ42" s="132">
        <f t="shared" si="202"/>
        <v>0</v>
      </c>
      <c r="CK42" s="131">
        <f t="shared" si="202"/>
        <v>0</v>
      </c>
      <c r="CL42" s="132">
        <f t="shared" si="202"/>
        <v>0</v>
      </c>
      <c r="CM42" s="133">
        <f t="shared" si="202"/>
        <v>0</v>
      </c>
      <c r="CN42" s="384"/>
      <c r="CO42" s="380"/>
      <c r="CP42" s="380"/>
      <c r="CQ42" s="380"/>
      <c r="CR42" s="380"/>
      <c r="CS42" s="381"/>
      <c r="CT42" s="384"/>
      <c r="CU42" s="380"/>
      <c r="CV42" s="380"/>
      <c r="CW42" s="380"/>
      <c r="CX42" s="381"/>
      <c r="CY42" s="380"/>
      <c r="CZ42" s="380"/>
      <c r="DA42" s="427"/>
      <c r="DB42" s="384"/>
      <c r="DC42" s="380"/>
      <c r="DD42" s="380"/>
      <c r="DE42" s="380"/>
      <c r="DF42" s="380"/>
      <c r="DG42" s="381"/>
      <c r="DH42" s="384"/>
      <c r="DI42" s="380"/>
      <c r="DJ42" s="380"/>
      <c r="DK42" s="380"/>
      <c r="DL42" s="381"/>
      <c r="DM42" s="380"/>
      <c r="DN42" s="380"/>
      <c r="DO42" s="427"/>
      <c r="DP42" s="426"/>
      <c r="DQ42" s="380"/>
      <c r="DR42" s="380"/>
      <c r="DS42" s="380"/>
      <c r="DT42" s="380"/>
      <c r="DU42" s="381"/>
      <c r="DV42" s="375"/>
      <c r="DW42" s="382"/>
      <c r="DX42" s="382"/>
      <c r="DY42" s="382"/>
      <c r="DZ42" s="383"/>
      <c r="EA42" s="380"/>
      <c r="EB42" s="380"/>
      <c r="EC42" s="427"/>
      <c r="ED42" s="429"/>
      <c r="EE42" s="393"/>
      <c r="EF42" s="113">
        <v>-1.9771703099999999E-4</v>
      </c>
      <c r="EG42" s="113">
        <v>-1.2616387200000001E-2</v>
      </c>
      <c r="EH42" s="113">
        <v>-8.8756499499999997</v>
      </c>
      <c r="EI42" s="116">
        <v>1273.4633899999999</v>
      </c>
      <c r="EJ42" s="378"/>
      <c r="EK42" s="115">
        <v>-2.4656900000000002E-8</v>
      </c>
      <c r="EL42" s="113">
        <v>5.5036256899999998E-5</v>
      </c>
      <c r="EM42" s="113">
        <v>8.7451061600000001E-3</v>
      </c>
      <c r="EN42" s="116">
        <v>36.556569600000003</v>
      </c>
      <c r="EO42" s="395">
        <v>-2.1181507999999999E-5</v>
      </c>
      <c r="EP42" s="395">
        <v>-0.10477916499999999</v>
      </c>
      <c r="EQ42" s="433">
        <v>1396.4419800000001</v>
      </c>
      <c r="ER42" s="444"/>
      <c r="ES42" s="441"/>
      <c r="ET42" s="443"/>
      <c r="EU42" s="441"/>
      <c r="EV42" s="443"/>
      <c r="EW42" s="441"/>
      <c r="EX42" s="443"/>
      <c r="EY42" s="442"/>
      <c r="EZ42" s="530">
        <f t="shared" si="203"/>
        <v>17</v>
      </c>
      <c r="FA42" s="143">
        <f>((FA43-FA41)/2)+FA41</f>
        <v>17</v>
      </c>
      <c r="FB42" s="143">
        <f t="shared" si="204"/>
        <v>17</v>
      </c>
      <c r="FC42" s="143">
        <f t="shared" si="205"/>
        <v>17</v>
      </c>
      <c r="FD42" s="143">
        <f t="shared" si="206"/>
        <v>17</v>
      </c>
      <c r="FE42" s="143">
        <f>((FE43-FE41)/2)+FE41</f>
        <v>18.2</v>
      </c>
      <c r="FF42" s="497">
        <f t="shared" si="207"/>
        <v>17</v>
      </c>
      <c r="FG42" s="497">
        <f>((FG43-FG41)/2)+FG41</f>
        <v>18.375</v>
      </c>
      <c r="FH42" s="497">
        <f t="shared" si="208"/>
        <v>17</v>
      </c>
      <c r="FJ42" s="344">
        <f t="shared" si="209"/>
        <v>0</v>
      </c>
      <c r="FK42" s="241">
        <f t="shared" si="210"/>
        <v>1.175</v>
      </c>
      <c r="FL42" s="495">
        <f t="shared" si="211"/>
        <v>1.4700000000000002</v>
      </c>
      <c r="FM42" s="230">
        <f t="shared" si="252"/>
        <v>0</v>
      </c>
      <c r="FN42" s="226">
        <f>((FN43-FN41)/2)+FN41</f>
        <v>727.13439549999998</v>
      </c>
      <c r="FO42" s="226">
        <f>((FO43-FO41)/2)+FO41</f>
        <v>1277.2680350000001</v>
      </c>
      <c r="FP42" s="222">
        <f>FN42/FO42</f>
        <v>0.56928880671471582</v>
      </c>
      <c r="FQ42" s="238">
        <f t="shared" si="212"/>
        <v>0</v>
      </c>
      <c r="FR42" s="241">
        <f t="shared" si="213"/>
        <v>0</v>
      </c>
      <c r="FS42" s="242">
        <f t="shared" si="253"/>
        <v>550.13363950000019</v>
      </c>
      <c r="FT42" s="248">
        <f t="shared" si="254"/>
        <v>0</v>
      </c>
      <c r="FU42" s="224">
        <f t="shared" ref="FU42:FU53" si="258">FC42</f>
        <v>17</v>
      </c>
      <c r="FV42" s="219">
        <f t="shared" si="214"/>
        <v>21.150000000000002</v>
      </c>
      <c r="FW42" s="224">
        <f t="shared" ref="FW42:FW53" si="259">ABS(FV42-FU42)</f>
        <v>4.1500000000000021</v>
      </c>
      <c r="FX42" s="224">
        <f t="shared" si="215"/>
        <v>23.520000000000003</v>
      </c>
      <c r="FY42" s="224">
        <f t="shared" ref="FY42:FY53" si="260">ABS(FX42-FU42)</f>
        <v>6.5200000000000031</v>
      </c>
      <c r="FZ42" s="224">
        <f t="shared" ref="FZ42:FZ53" si="261">IF(FM42&lt;=FP42,FU42,FU42+(FT42*FW42))</f>
        <v>17</v>
      </c>
      <c r="GA42" s="500">
        <f t="shared" si="216"/>
        <v>17</v>
      </c>
      <c r="GC42" s="161">
        <f t="shared" si="217"/>
        <v>15.69066559142683</v>
      </c>
      <c r="GE42" s="259">
        <f t="shared" si="218"/>
        <v>0</v>
      </c>
      <c r="GG42" s="305">
        <f t="shared" si="219"/>
        <v>2334.1781978570243</v>
      </c>
      <c r="GH42" s="305" t="e">
        <f t="shared" si="220"/>
        <v>#DIV/0!</v>
      </c>
      <c r="GI42" s="305">
        <f t="shared" si="221"/>
        <v>1167.0890989285122</v>
      </c>
      <c r="GJ42" s="305">
        <f t="shared" si="222"/>
        <v>1167.0890989285119</v>
      </c>
      <c r="GK42" s="305">
        <f t="shared" si="223"/>
        <v>7.2478490515896785E-3</v>
      </c>
      <c r="GL42" s="305">
        <f t="shared" si="15"/>
        <v>7.2478490515896785E-3</v>
      </c>
      <c r="GM42" s="305">
        <f t="shared" si="224"/>
        <v>38.490692183503647</v>
      </c>
      <c r="GN42" s="305" t="e">
        <f t="shared" si="225"/>
        <v>#DIV/0!</v>
      </c>
      <c r="GO42" s="306" t="e">
        <f t="shared" si="16"/>
        <v>#DIV/0!</v>
      </c>
      <c r="GQ42" s="305">
        <f t="shared" si="226"/>
        <v>3557.0118570174286</v>
      </c>
      <c r="GR42" s="305" t="e">
        <f t="shared" si="227"/>
        <v>#DIV/0!</v>
      </c>
      <c r="GS42" s="305">
        <f t="shared" si="228"/>
        <v>1778.5059285087143</v>
      </c>
      <c r="GT42" s="305">
        <f t="shared" si="229"/>
        <v>1778.5059285087143</v>
      </c>
      <c r="GU42" s="305" t="e">
        <f t="shared" si="230"/>
        <v>#DIV/0!</v>
      </c>
      <c r="GV42" s="307">
        <f t="shared" si="231"/>
        <v>1.1112703645172665E-2</v>
      </c>
      <c r="GW42" s="307">
        <f t="shared" si="232"/>
        <v>1.1112703645172665E-2</v>
      </c>
      <c r="GX42" s="305" t="e">
        <f t="shared" si="233"/>
        <v>#DIV/0!</v>
      </c>
      <c r="GY42" s="305">
        <f t="shared" si="234"/>
        <v>55.477839519976428</v>
      </c>
      <c r="GZ42" s="305" t="e">
        <f t="shared" si="235"/>
        <v>#DIV/0!</v>
      </c>
      <c r="HA42" s="305" t="e">
        <f t="shared" si="236"/>
        <v>#DIV/0!</v>
      </c>
      <c r="HB42" s="305">
        <f t="shared" si="17"/>
        <v>19.415087041495514</v>
      </c>
      <c r="HC42" s="305" t="e">
        <f t="shared" si="18"/>
        <v>#DIV/0!</v>
      </c>
      <c r="HD42" s="529">
        <f t="shared" si="237"/>
        <v>60.772153152502042</v>
      </c>
      <c r="HE42" s="57">
        <f t="shared" si="7"/>
        <v>0</v>
      </c>
      <c r="HF42" s="57">
        <f t="shared" si="238"/>
        <v>60.772153152502042</v>
      </c>
      <c r="HG42" s="525">
        <f t="shared" si="9"/>
        <v>17</v>
      </c>
      <c r="HH42" s="57">
        <f t="shared" si="10"/>
        <v>17</v>
      </c>
      <c r="HI42" s="503">
        <f t="shared" si="75"/>
        <v>60.772153152502042</v>
      </c>
      <c r="HJ42" s="2">
        <f t="shared" si="90"/>
        <v>1</v>
      </c>
      <c r="HK42" s="503">
        <f t="shared" si="76"/>
        <v>60.772153152502042</v>
      </c>
      <c r="HL42" s="344">
        <f t="shared" si="239"/>
        <v>0</v>
      </c>
      <c r="HM42" s="241">
        <f t="shared" si="240"/>
        <v>1.175</v>
      </c>
      <c r="HN42" s="495">
        <f t="shared" si="241"/>
        <v>1.4700000000000002</v>
      </c>
      <c r="HO42" s="230">
        <f t="shared" si="255"/>
        <v>0</v>
      </c>
      <c r="HP42" s="226">
        <f>((HP43-HP41)/2)+HP41</f>
        <v>727.13439549999998</v>
      </c>
      <c r="HQ42" s="226">
        <f>((HQ43-HQ41)/2)+HQ41</f>
        <v>1277.2680350000001</v>
      </c>
      <c r="HR42" s="222">
        <f>HP42/HQ42</f>
        <v>0.56928880671471582</v>
      </c>
      <c r="HS42" s="251">
        <f t="shared" si="11"/>
        <v>0</v>
      </c>
      <c r="HT42" s="241">
        <f t="shared" si="243"/>
        <v>0</v>
      </c>
      <c r="HU42" s="242">
        <f t="shared" si="256"/>
        <v>550.13363950000019</v>
      </c>
      <c r="HV42" s="248">
        <f t="shared" si="257"/>
        <v>0</v>
      </c>
      <c r="HW42" s="224">
        <f t="shared" si="12"/>
        <v>17</v>
      </c>
      <c r="HX42" s="219">
        <f t="shared" si="244"/>
        <v>21.150000000000002</v>
      </c>
      <c r="HY42" s="224">
        <f t="shared" ref="HY42:HY46" si="262">ABS(HX42-HW42)</f>
        <v>4.1500000000000021</v>
      </c>
      <c r="HZ42" s="224">
        <f t="shared" si="245"/>
        <v>23.520000000000003</v>
      </c>
      <c r="IA42" s="224">
        <f t="shared" ref="IA42:IA46" si="263">ABS(HZ42-HW42)</f>
        <v>6.5200000000000031</v>
      </c>
      <c r="IB42" s="224">
        <f t="shared" ref="IB42:IB46" si="264">IF(HO42&lt;=HR42,HW42,HW42+(HV42*HY42))</f>
        <v>17</v>
      </c>
      <c r="IC42" s="500">
        <f t="shared" si="246"/>
        <v>17</v>
      </c>
      <c r="IE42" s="161">
        <f t="shared" si="247"/>
        <v>15.69066559142683</v>
      </c>
      <c r="IG42" s="259">
        <f t="shared" si="248"/>
        <v>6.1648013234821483E-2</v>
      </c>
      <c r="II42" s="305">
        <f t="shared" si="249"/>
        <v>2334.1781978570243</v>
      </c>
      <c r="IJ42" s="305" t="e">
        <f t="shared" si="250"/>
        <v>#DIV/0!</v>
      </c>
    </row>
    <row r="43" spans="2:244" ht="15" customHeight="1" x14ac:dyDescent="0.25">
      <c r="B43" s="195">
        <f>IF($AL$5=1,$C43/10,IF($AL$5=2,$C43/10,IF($AL$5=3,0.5,IF($AL$5=4,$C43/10,))))</f>
        <v>0.6</v>
      </c>
      <c r="C43" s="336">
        <v>6</v>
      </c>
      <c r="D43" s="329">
        <f t="shared" si="183"/>
        <v>9594.9885862671326</v>
      </c>
      <c r="E43" s="30">
        <f t="shared" si="184"/>
        <v>825</v>
      </c>
      <c r="F43" s="330">
        <f t="shared" si="185"/>
        <v>6.8429733559153245</v>
      </c>
      <c r="G43" s="329">
        <f t="shared" si="186"/>
        <v>1812.3138199647178</v>
      </c>
      <c r="H43" s="32">
        <f t="shared" si="187"/>
        <v>1812.3138199647178</v>
      </c>
      <c r="I43" s="30">
        <f>IF(Geg_dP&lt;AB43,ROUND(((IF('Briza 22 &amp; 26'!$M$4="High Perform. 208/230V (US/EU)",cal!HK43,H43)/Watts)/((Tr_cool-Tv_cool)*1.163))*FlowH2O,IF(UnitsNo=1,0,IF(UnitsNo=2,2))),"")</f>
        <v>779</v>
      </c>
      <c r="J43" s="330">
        <f t="shared" si="188"/>
        <v>6.1541104645299489</v>
      </c>
      <c r="K43" s="333">
        <f t="shared" si="189"/>
        <v>43</v>
      </c>
      <c r="L43" s="297">
        <f>IF(Geg_dP&lt;$AB43,IF(CalcNo="12",$ET43,IF(CalcNo="22",$ET43,IF(CalcNo="13",$EU43,IF(CalcNo="23",$EU43,IF(CalcNo="11",$ER43,IF(CalcNo="21",$ER43,IF(CalcNo="14",$ES43,IF(CalcNo="24",$ES43,IF(CalcNo="32",$EX43,IF(CalcNo="42",$EX43,IF(CalcNo="33",$EY43,IF(CalcNo="43",$EY43,IF(CalcNo="31",$EV43,IF(CalcNo="41",$EV43,IF(CalcNo="34",$EW43,IF(CalcNo="44",$EW43,)))))))))))))))),"")</f>
        <v>51</v>
      </c>
      <c r="M43" s="198">
        <f t="shared" si="190"/>
        <v>35.660962410040661</v>
      </c>
      <c r="N43" s="197">
        <f t="shared" si="191"/>
        <v>839.85254799999996</v>
      </c>
      <c r="O43" s="480">
        <f t="shared" si="192"/>
        <v>0.84833590707070694</v>
      </c>
      <c r="P43" s="198">
        <f t="shared" si="193"/>
        <v>53.534914735489998</v>
      </c>
      <c r="Q43" s="297">
        <f t="shared" si="194"/>
        <v>24.197094901512546</v>
      </c>
      <c r="R43" s="509">
        <f t="shared" si="195"/>
        <v>20.586303703876375</v>
      </c>
      <c r="S43" s="36">
        <f t="shared" si="196"/>
        <v>17.340181998411264</v>
      </c>
      <c r="T43" s="300">
        <f t="shared" si="197"/>
        <v>0.73488134455760457</v>
      </c>
      <c r="U43" s="416">
        <f t="shared" si="198"/>
        <v>827.92955787507583</v>
      </c>
      <c r="V43" s="483">
        <f t="shared" si="199"/>
        <v>0.15285952871354078</v>
      </c>
      <c r="W43" s="513">
        <f t="shared" si="200"/>
        <v>2.1578952451600086</v>
      </c>
      <c r="X43" s="56">
        <f t="shared" si="1"/>
        <v>0.99324299999999999</v>
      </c>
      <c r="Y43" s="56">
        <f t="shared" si="166"/>
        <v>1.23546</v>
      </c>
      <c r="Z43" s="56">
        <f t="shared" si="167"/>
        <v>1.10433</v>
      </c>
      <c r="AA43" s="56">
        <f t="shared" si="13"/>
        <v>0.99324299999999999</v>
      </c>
      <c r="AB43" s="56">
        <f t="shared" si="14"/>
        <v>58.34</v>
      </c>
      <c r="AC43" s="95">
        <v>0.99324299999999999</v>
      </c>
      <c r="AD43" s="95">
        <v>1.23546</v>
      </c>
      <c r="AE43" s="95">
        <v>1.10433</v>
      </c>
      <c r="AF43" s="96">
        <v>48</v>
      </c>
      <c r="AG43" s="95">
        <v>0.99324299999999999</v>
      </c>
      <c r="AH43" s="95">
        <v>1.23546</v>
      </c>
      <c r="AI43" s="95">
        <v>1.10433</v>
      </c>
      <c r="AJ43" s="486">
        <v>75</v>
      </c>
      <c r="AK43" s="487">
        <v>0.99324299999999999</v>
      </c>
      <c r="AL43" s="487">
        <v>1.23546</v>
      </c>
      <c r="AM43" s="487">
        <v>1.10433</v>
      </c>
      <c r="AN43" s="486">
        <v>58.34</v>
      </c>
      <c r="AO43" s="487">
        <v>1.0288573703986699</v>
      </c>
      <c r="AP43" s="487">
        <v>1.5348139398733884</v>
      </c>
      <c r="AQ43" s="487">
        <v>1.1401126388667442</v>
      </c>
      <c r="AR43" s="486">
        <v>152.28</v>
      </c>
      <c r="AS43" s="487">
        <v>0.99324299999999999</v>
      </c>
      <c r="AT43" s="487">
        <v>1.23546</v>
      </c>
      <c r="AU43" s="487">
        <v>1.10433</v>
      </c>
      <c r="AV43" s="486">
        <f t="shared" si="179"/>
        <v>48</v>
      </c>
      <c r="AW43" s="487">
        <v>0.99324299999999999</v>
      </c>
      <c r="AX43" s="487">
        <v>1.23546</v>
      </c>
      <c r="AY43" s="487">
        <v>1.10433</v>
      </c>
      <c r="AZ43" s="486">
        <f t="shared" si="180"/>
        <v>75</v>
      </c>
      <c r="BA43" s="95">
        <v>0.99330580285782832</v>
      </c>
      <c r="BB43" s="95">
        <v>1.2349800450330226</v>
      </c>
      <c r="BC43" s="95">
        <v>1.1045610713258731</v>
      </c>
      <c r="BD43" s="96">
        <f t="shared" si="181"/>
        <v>58.34</v>
      </c>
      <c r="BE43" s="95">
        <v>0.97569608354351034</v>
      </c>
      <c r="BF43" s="95">
        <v>1.0199429606771673</v>
      </c>
      <c r="BG43" s="95">
        <v>1.0869513520115845</v>
      </c>
      <c r="BH43" s="96">
        <f t="shared" si="182"/>
        <v>152.28</v>
      </c>
      <c r="BJ43" s="182"/>
      <c r="BK43" s="82">
        <f>IF($BK$17="11",BN43,IF($BK$17="21",BQ43,IF($BK$17="12",BN43,IF($BK$17="22",BQ43,IF($BK$17="13",BN43,IF($BK$17="23",BQ43,IF($BK$17="14",BN43,IF($BK$17="24",BQ43,IF($BK$17="31",BT43,IF($BK$17="41",BW43,IF($BK$17="32",BT43,IF($BK$17="42",BW43,IF($BK$17="33",BT43,IF($BK$17="43",BW43,IF($BK$17="34",BT43,IF($BK$17="44",BW43,))))))))))))))))</f>
        <v>-1.29262917E-3</v>
      </c>
      <c r="BL43" s="83">
        <f>IF($BK$17="11",BO43,IF($BK$17="21",BR43,IF($BK$17="12",BO43,IF($BK$17="22",BR43,IF($BK$17="13",BO43,IF($BK$17="23",BR43,IF($BK$17="14",BO43,IF($BK$17="24",BR43,IF($BK$17="31",BU43,IF($BK$17="41",BX43,IF($BK$17="32",BU43,IF($BK$17="42",BX43,IF($BK$17="33",BU43,IF($BK$17="43",BX43,IF($BK$17="34",BU43,IF($BK$17="44",BX43,))))))))))))))))</f>
        <v>-3.5781964299999998E-4</v>
      </c>
      <c r="BM43" s="97"/>
      <c r="BN43" s="103">
        <v>-1.29262917E-3</v>
      </c>
      <c r="BO43" s="104">
        <v>-3.5781964299999998E-4</v>
      </c>
      <c r="BP43" s="97"/>
      <c r="BQ43" s="103">
        <v>-7.1707988599999995E-4</v>
      </c>
      <c r="BR43" s="104">
        <f>BO43</f>
        <v>-3.5781964299999998E-4</v>
      </c>
      <c r="BS43" s="97"/>
      <c r="BT43" s="103">
        <v>-8.3308044000000002E-4</v>
      </c>
      <c r="BU43" s="104">
        <v>-4.5785335099999999E-4</v>
      </c>
      <c r="BV43" s="97"/>
      <c r="BW43" s="103">
        <f>BQ43</f>
        <v>-7.1707988599999995E-4</v>
      </c>
      <c r="BX43" s="104">
        <f>BU43</f>
        <v>-4.5785335099999999E-4</v>
      </c>
      <c r="BY43" s="97"/>
      <c r="BZ43" s="131">
        <f t="shared" si="202"/>
        <v>0</v>
      </c>
      <c r="CA43" s="132">
        <f t="shared" si="202"/>
        <v>1.4331383999999999E-5</v>
      </c>
      <c r="CB43" s="132">
        <f t="shared" si="202"/>
        <v>-2.0459998E-3</v>
      </c>
      <c r="CC43" s="132">
        <f t="shared" si="202"/>
        <v>4.9963506099999999E-2</v>
      </c>
      <c r="CD43" s="132">
        <f t="shared" si="202"/>
        <v>-12.420478599999999</v>
      </c>
      <c r="CE43" s="133">
        <f t="shared" si="202"/>
        <v>839.85254799999996</v>
      </c>
      <c r="CF43" s="131">
        <f t="shared" si="202"/>
        <v>0</v>
      </c>
      <c r="CG43" s="132">
        <f t="shared" si="202"/>
        <v>-3.3225792700000001E-8</v>
      </c>
      <c r="CH43" s="132">
        <f t="shared" si="202"/>
        <v>4.55560017E-5</v>
      </c>
      <c r="CI43" s="132">
        <f t="shared" si="202"/>
        <v>6.25707911E-3</v>
      </c>
      <c r="CJ43" s="132">
        <f t="shared" si="202"/>
        <v>17.955599299999999</v>
      </c>
      <c r="CK43" s="131">
        <f t="shared" si="202"/>
        <v>-9.9562858500000005E-5</v>
      </c>
      <c r="CL43" s="132">
        <f t="shared" si="202"/>
        <v>-0.20552498299999999</v>
      </c>
      <c r="CM43" s="133">
        <f t="shared" si="202"/>
        <v>1070.76713</v>
      </c>
      <c r="CN43" s="357"/>
      <c r="CO43" s="113">
        <v>-1.8062166400000001E-5</v>
      </c>
      <c r="CP43" s="113">
        <v>2.5248781800000001E-3</v>
      </c>
      <c r="CQ43" s="113">
        <v>-0.12317481399999999</v>
      </c>
      <c r="CR43" s="113">
        <v>-10.600207299999999</v>
      </c>
      <c r="CS43" s="116">
        <v>619.96644900000001</v>
      </c>
      <c r="CT43" s="357"/>
      <c r="CU43" s="115">
        <v>-9.6144682300000008E-9</v>
      </c>
      <c r="CV43" s="113">
        <v>1.52077752E-5</v>
      </c>
      <c r="CW43" s="113">
        <v>1.03183818E-2</v>
      </c>
      <c r="CX43" s="116">
        <v>16.835607199999998</v>
      </c>
      <c r="CY43" s="113">
        <v>-1.82105923E-4</v>
      </c>
      <c r="CZ43" s="113">
        <v>1.23028384E-2</v>
      </c>
      <c r="DA43" s="423">
        <v>816.59857299999999</v>
      </c>
      <c r="DB43" s="357"/>
      <c r="DC43" s="113">
        <v>4.5186369299999997E-7</v>
      </c>
      <c r="DD43" s="113">
        <v>1.6722765799999999E-4</v>
      </c>
      <c r="DE43" s="113">
        <v>-5.6749443199999999E-2</v>
      </c>
      <c r="DF43" s="113">
        <v>-9.6531175000000005</v>
      </c>
      <c r="DG43" s="116">
        <v>978.44500900000003</v>
      </c>
      <c r="DH43" s="357"/>
      <c r="DI43" s="115">
        <v>-6.38854367E-9</v>
      </c>
      <c r="DJ43" s="113">
        <v>1.1816686999999999E-5</v>
      </c>
      <c r="DK43" s="113">
        <v>1.8863174600000001E-2</v>
      </c>
      <c r="DL43" s="116">
        <v>27.249069500000001</v>
      </c>
      <c r="DM43" s="113">
        <v>9.28647293E-5</v>
      </c>
      <c r="DN43" s="113">
        <v>-0.23957838100000001</v>
      </c>
      <c r="DO43" s="423">
        <v>1303.35096</v>
      </c>
      <c r="DP43" s="422"/>
      <c r="DQ43" s="113">
        <v>1.4331383999999999E-5</v>
      </c>
      <c r="DR43" s="113">
        <v>-2.0459998E-3</v>
      </c>
      <c r="DS43" s="113">
        <v>4.9963506099999999E-2</v>
      </c>
      <c r="DT43" s="113">
        <v>-12.420478599999999</v>
      </c>
      <c r="DU43" s="116">
        <v>839.85254799999996</v>
      </c>
      <c r="DV43" s="378"/>
      <c r="DW43" s="126">
        <v>-3.3225792700000001E-8</v>
      </c>
      <c r="DX43" s="120">
        <v>4.55560017E-5</v>
      </c>
      <c r="DY43" s="120">
        <v>6.25707911E-3</v>
      </c>
      <c r="DZ43" s="114">
        <v>17.955599299999999</v>
      </c>
      <c r="EA43" s="113">
        <v>-9.9562858500000005E-5</v>
      </c>
      <c r="EB43" s="113">
        <v>-0.20552498299999999</v>
      </c>
      <c r="EC43" s="423">
        <v>1070.76713</v>
      </c>
      <c r="ED43" s="422"/>
      <c r="EE43" s="113">
        <v>7.9552601999999999E-7</v>
      </c>
      <c r="EF43" s="113">
        <v>-2.6541645100000002E-4</v>
      </c>
      <c r="EG43" s="113">
        <v>8.3383852100000003E-3</v>
      </c>
      <c r="EH43" s="113">
        <v>-7.6342333499999997</v>
      </c>
      <c r="EI43" s="116">
        <v>1499.5820799999999</v>
      </c>
      <c r="EJ43" s="378"/>
      <c r="EK43" s="115">
        <v>-2.4142500300000001E-8</v>
      </c>
      <c r="EL43" s="113">
        <v>6.3612314500000004E-5</v>
      </c>
      <c r="EM43" s="113">
        <v>1.01630131E-2</v>
      </c>
      <c r="EN43" s="116">
        <v>49.8580823</v>
      </c>
      <c r="EO43" s="395">
        <v>-1.9430125299999999E-5</v>
      </c>
      <c r="EP43" s="395">
        <v>-0.12678028599999999</v>
      </c>
      <c r="EQ43" s="433">
        <v>1633.66155</v>
      </c>
      <c r="ER43" s="137">
        <v>51</v>
      </c>
      <c r="ES43" s="365"/>
      <c r="ET43" s="137">
        <v>51</v>
      </c>
      <c r="EU43" s="365"/>
      <c r="EV43" s="137">
        <f>EX43</f>
        <v>53.5</v>
      </c>
      <c r="EW43" s="365"/>
      <c r="EX43" s="137">
        <v>53.5</v>
      </c>
      <c r="EY43" s="365"/>
      <c r="EZ43" s="137">
        <f t="shared" si="203"/>
        <v>17.5</v>
      </c>
      <c r="FA43" s="143">
        <f>Tavg_cold</f>
        <v>17</v>
      </c>
      <c r="FB43" s="143">
        <f t="shared" si="204"/>
        <v>17.5</v>
      </c>
      <c r="FC43" s="143">
        <f t="shared" si="205"/>
        <v>17.5</v>
      </c>
      <c r="FD43" s="143">
        <f t="shared" si="206"/>
        <v>17.5</v>
      </c>
      <c r="FE43" s="145">
        <f t="shared" si="251"/>
        <v>18.2</v>
      </c>
      <c r="FF43" s="497">
        <f t="shared" si="207"/>
        <v>17.5</v>
      </c>
      <c r="FG43" s="497">
        <f>FH43*1.05</f>
        <v>18.375</v>
      </c>
      <c r="FH43" s="497">
        <f t="shared" si="208"/>
        <v>17.5</v>
      </c>
      <c r="FJ43" s="344">
        <f t="shared" si="209"/>
        <v>0.5</v>
      </c>
      <c r="FK43" s="241">
        <f t="shared" si="210"/>
        <v>1.175</v>
      </c>
      <c r="FL43" s="495">
        <f t="shared" si="211"/>
        <v>1.4700000000000002</v>
      </c>
      <c r="FM43" s="230">
        <f t="shared" si="252"/>
        <v>0.56005773821997129</v>
      </c>
      <c r="FN43" s="226">
        <f>DU43</f>
        <v>839.85254799999996</v>
      </c>
      <c r="FO43" s="226">
        <f>EI43</f>
        <v>1499.5820799999999</v>
      </c>
      <c r="FP43" s="222">
        <f>FN43/FO43</f>
        <v>0.56005773821997129</v>
      </c>
      <c r="FQ43" s="238">
        <f t="shared" si="212"/>
        <v>839.85254799999996</v>
      </c>
      <c r="FR43" s="241">
        <f t="shared" si="213"/>
        <v>0</v>
      </c>
      <c r="FS43" s="242">
        <f t="shared" si="253"/>
        <v>659.72953199999995</v>
      </c>
      <c r="FT43" s="248">
        <f t="shared" si="254"/>
        <v>0</v>
      </c>
      <c r="FU43" s="224">
        <f t="shared" si="258"/>
        <v>17.5</v>
      </c>
      <c r="FV43" s="219">
        <f t="shared" si="214"/>
        <v>21.150000000000002</v>
      </c>
      <c r="FW43" s="224">
        <f t="shared" si="259"/>
        <v>3.6500000000000021</v>
      </c>
      <c r="FX43" s="224">
        <f t="shared" si="215"/>
        <v>23.520000000000003</v>
      </c>
      <c r="FY43" s="224">
        <f t="shared" si="260"/>
        <v>6.0200000000000031</v>
      </c>
      <c r="FZ43" s="224">
        <f t="shared" si="261"/>
        <v>17.5</v>
      </c>
      <c r="GA43" s="500">
        <f t="shared" si="216"/>
        <v>17.5</v>
      </c>
      <c r="GC43" s="161">
        <f t="shared" si="217"/>
        <v>15.69066559142683</v>
      </c>
      <c r="GE43" s="259">
        <f t="shared" si="218"/>
        <v>0</v>
      </c>
      <c r="GG43" s="305">
        <f t="shared" si="219"/>
        <v>2334.1781978570243</v>
      </c>
      <c r="GH43" s="305">
        <f t="shared" si="220"/>
        <v>14613.120122865594</v>
      </c>
      <c r="GI43" s="305">
        <f t="shared" si="221"/>
        <v>1167.0890989285122</v>
      </c>
      <c r="GJ43" s="305">
        <f t="shared" si="222"/>
        <v>1167.0890989285119</v>
      </c>
      <c r="GK43" s="305">
        <f t="shared" si="223"/>
        <v>7.2478490515896785E-3</v>
      </c>
      <c r="GL43" s="305">
        <f t="shared" si="15"/>
        <v>7.2478490515896785E-3</v>
      </c>
      <c r="GM43" s="305">
        <f t="shared" si="224"/>
        <v>38.490692183503647</v>
      </c>
      <c r="GN43" s="305">
        <f t="shared" si="225"/>
        <v>72.647796212597711</v>
      </c>
      <c r="GO43" s="306">
        <f t="shared" si="16"/>
        <v>7.9865838993708957E-2</v>
      </c>
      <c r="GQ43" s="305">
        <f t="shared" si="226"/>
        <v>3557.0118570174286</v>
      </c>
      <c r="GR43" s="305">
        <f t="shared" si="227"/>
        <v>2420.1266526630461</v>
      </c>
      <c r="GS43" s="305">
        <f t="shared" si="228"/>
        <v>1778.5059285087143</v>
      </c>
      <c r="GT43" s="305">
        <f t="shared" si="229"/>
        <v>1778.5059285087143</v>
      </c>
      <c r="GU43" s="305">
        <f t="shared" si="230"/>
        <v>1778.5059285087141</v>
      </c>
      <c r="GV43" s="307">
        <f t="shared" si="231"/>
        <v>1.1112703645172665E-2</v>
      </c>
      <c r="GW43" s="307">
        <f t="shared" si="232"/>
        <v>1.1112703645172665E-2</v>
      </c>
      <c r="GX43" s="305">
        <f t="shared" si="233"/>
        <v>1.1112703645172665E-2</v>
      </c>
      <c r="GY43" s="305">
        <f t="shared" si="234"/>
        <v>55.477839519976428</v>
      </c>
      <c r="GZ43" s="305">
        <f t="shared" si="235"/>
        <v>55.477839519976428</v>
      </c>
      <c r="HA43" s="305">
        <f t="shared" si="236"/>
        <v>48.898793285761421</v>
      </c>
      <c r="HB43" s="305">
        <f t="shared" si="17"/>
        <v>19.415087041495514</v>
      </c>
      <c r="HC43" s="305">
        <f t="shared" si="18"/>
        <v>19.415087041495514</v>
      </c>
      <c r="HD43" s="529">
        <f t="shared" si="237"/>
        <v>1812.3138199647178</v>
      </c>
      <c r="HE43" s="57">
        <f t="shared" si="7"/>
        <v>839.85254799999996</v>
      </c>
      <c r="HF43" s="57">
        <f t="shared" si="238"/>
        <v>1812.3138199647178</v>
      </c>
      <c r="HG43" s="525">
        <f t="shared" si="9"/>
        <v>17.5</v>
      </c>
      <c r="HH43" s="57">
        <f t="shared" si="10"/>
        <v>17.5</v>
      </c>
      <c r="HI43" s="503">
        <f t="shared" si="75"/>
        <v>1812.3138199647178</v>
      </c>
      <c r="HJ43" s="2">
        <f t="shared" si="90"/>
        <v>1</v>
      </c>
      <c r="HK43" s="503">
        <f t="shared" si="76"/>
        <v>1812.3138199647178</v>
      </c>
      <c r="HL43" s="344">
        <f t="shared" si="239"/>
        <v>0.5</v>
      </c>
      <c r="HM43" s="241">
        <f t="shared" si="240"/>
        <v>1.175</v>
      </c>
      <c r="HN43" s="495">
        <f t="shared" si="241"/>
        <v>1.4700000000000002</v>
      </c>
      <c r="HO43" s="230">
        <f t="shared" si="255"/>
        <v>0.56005773821997129</v>
      </c>
      <c r="HP43" s="226">
        <f t="shared" si="242"/>
        <v>839.85254799999996</v>
      </c>
      <c r="HQ43" s="226">
        <f t="shared" si="80"/>
        <v>1499.5820799999999</v>
      </c>
      <c r="HR43" s="222">
        <f>HP43/HQ43</f>
        <v>0.56005773821997129</v>
      </c>
      <c r="HS43" s="251">
        <f t="shared" si="11"/>
        <v>839.85254799999996</v>
      </c>
      <c r="HT43" s="241">
        <f t="shared" si="243"/>
        <v>0</v>
      </c>
      <c r="HU43" s="242">
        <f t="shared" si="256"/>
        <v>659.72953199999995</v>
      </c>
      <c r="HV43" s="248">
        <f t="shared" si="257"/>
        <v>0</v>
      </c>
      <c r="HW43" s="224">
        <f t="shared" si="12"/>
        <v>17.5</v>
      </c>
      <c r="HX43" s="219">
        <f t="shared" si="244"/>
        <v>21.150000000000002</v>
      </c>
      <c r="HY43" s="224">
        <f t="shared" si="262"/>
        <v>3.6500000000000021</v>
      </c>
      <c r="HZ43" s="224">
        <f t="shared" si="245"/>
        <v>23.520000000000003</v>
      </c>
      <c r="IA43" s="224">
        <f t="shared" si="263"/>
        <v>6.0200000000000031</v>
      </c>
      <c r="IB43" s="224">
        <f t="shared" si="264"/>
        <v>17.5</v>
      </c>
      <c r="IC43" s="500">
        <f t="shared" si="246"/>
        <v>17.5</v>
      </c>
      <c r="IE43" s="161">
        <f t="shared" si="247"/>
        <v>15.69066559142683</v>
      </c>
      <c r="IG43" s="259">
        <f t="shared" si="248"/>
        <v>6.1648013234821483E-2</v>
      </c>
      <c r="II43" s="305">
        <f t="shared" si="249"/>
        <v>2334.1781978570243</v>
      </c>
      <c r="IJ43" s="305">
        <f t="shared" si="250"/>
        <v>14613.120122865594</v>
      </c>
    </row>
    <row r="44" spans="2:244" ht="15" customHeight="1" x14ac:dyDescent="0.25">
      <c r="B44" s="195">
        <f>IF($AL$5=1,$C44/10,IF($AL$5=2,$C44/10,IF($AL$5=3,0.75,IF($AL$5=4,$C44/10,))))</f>
        <v>0.7</v>
      </c>
      <c r="C44" s="336">
        <v>7</v>
      </c>
      <c r="D44" s="329">
        <f t="shared" si="183"/>
        <v>150.1817637989142</v>
      </c>
      <c r="E44" s="30">
        <f t="shared" si="184"/>
        <v>13</v>
      </c>
      <c r="F44" s="330">
        <f t="shared" si="185"/>
        <v>3.1750740080079519E-3</v>
      </c>
      <c r="G44" s="329">
        <f t="shared" si="186"/>
        <v>60.772153152502042</v>
      </c>
      <c r="H44" s="32">
        <f t="shared" si="187"/>
        <v>60.772153152502042</v>
      </c>
      <c r="I44" s="30">
        <f>IF(Geg_dP&lt;AB44,ROUND(((IF('Briza 22 &amp; 26'!$M$4="High Perform. 208/230V (US/EU)",cal!HK44,H44)/Watts)/((Tr_cool-Tv_cool)*1.163))*FlowH2O,IF(UnitsNo=1,0,IF(UnitsNo=2,2))),"")</f>
        <v>26</v>
      </c>
      <c r="J44" s="330">
        <f t="shared" si="188"/>
        <v>1.144107112666796E-2</v>
      </c>
      <c r="K44" s="333">
        <f t="shared" si="189"/>
        <v>0</v>
      </c>
      <c r="L44" s="297">
        <f>IF(Geg_dP&lt;$AB44,0,"")</f>
        <v>0</v>
      </c>
      <c r="M44" s="198">
        <f t="shared" si="190"/>
        <v>0</v>
      </c>
      <c r="N44" s="197">
        <f t="shared" si="191"/>
        <v>0</v>
      </c>
      <c r="O44" s="480">
        <f t="shared" si="192"/>
        <v>0</v>
      </c>
      <c r="P44" s="198" t="e">
        <f t="shared" si="193"/>
        <v>#DIV/0!</v>
      </c>
      <c r="Q44" s="297" t="e">
        <f t="shared" si="194"/>
        <v>#DIV/0!</v>
      </c>
      <c r="R44" s="509" t="e">
        <f t="shared" si="195"/>
        <v>#DIV/0!</v>
      </c>
      <c r="S44" s="36" t="e">
        <f t="shared" si="196"/>
        <v>#DIV/0!</v>
      </c>
      <c r="T44" s="300" t="e">
        <f t="shared" si="197"/>
        <v>#DIV/0!</v>
      </c>
      <c r="U44" s="416">
        <f t="shared" si="198"/>
        <v>0</v>
      </c>
      <c r="V44" s="483" t="e">
        <f t="shared" si="199"/>
        <v>#DIV/0!</v>
      </c>
      <c r="W44" s="513" t="e">
        <f t="shared" si="200"/>
        <v>#DIV/0!</v>
      </c>
      <c r="X44" s="56">
        <f t="shared" si="1"/>
        <v>0.99324299999999999</v>
      </c>
      <c r="Y44" s="56">
        <f t="shared" si="166"/>
        <v>1.23546</v>
      </c>
      <c r="Z44" s="56">
        <f t="shared" si="167"/>
        <v>1.10433</v>
      </c>
      <c r="AA44" s="56">
        <f t="shared" si="13"/>
        <v>0.99324299999999999</v>
      </c>
      <c r="AB44" s="56">
        <f t="shared" si="14"/>
        <v>77.16</v>
      </c>
      <c r="AC44" s="95">
        <v>0.99324299999999999</v>
      </c>
      <c r="AD44" s="95">
        <v>1.23546</v>
      </c>
      <c r="AE44" s="95">
        <v>1.10433</v>
      </c>
      <c r="AF44" s="96">
        <f>AF43+((AF45-AF43)/2)</f>
        <v>64.5</v>
      </c>
      <c r="AG44" s="95">
        <v>0.99324299999999999</v>
      </c>
      <c r="AH44" s="95">
        <v>1.23546</v>
      </c>
      <c r="AI44" s="95">
        <v>1.10433</v>
      </c>
      <c r="AJ44" s="486">
        <f>AJ43+((AJ45-AJ43)/2)</f>
        <v>99.5</v>
      </c>
      <c r="AK44" s="487">
        <v>0.99324299999999999</v>
      </c>
      <c r="AL44" s="487">
        <v>1.23546</v>
      </c>
      <c r="AM44" s="487">
        <v>1.10433</v>
      </c>
      <c r="AN44" s="486">
        <f>AN43+((AN45-AN43)/2)</f>
        <v>77.16</v>
      </c>
      <c r="AO44" s="487">
        <v>1.0288573703986699</v>
      </c>
      <c r="AP44" s="487">
        <v>1.5348139398733884</v>
      </c>
      <c r="AQ44" s="487">
        <v>1.1401126388667442</v>
      </c>
      <c r="AR44" s="486">
        <v>177</v>
      </c>
      <c r="AS44" s="487">
        <v>0.99324299999999999</v>
      </c>
      <c r="AT44" s="487">
        <v>1.23546</v>
      </c>
      <c r="AU44" s="487">
        <v>1.10433</v>
      </c>
      <c r="AV44" s="486">
        <f t="shared" si="179"/>
        <v>64.5</v>
      </c>
      <c r="AW44" s="487">
        <v>0.99324299999999999</v>
      </c>
      <c r="AX44" s="487">
        <v>1.23546</v>
      </c>
      <c r="AY44" s="487">
        <v>1.10433</v>
      </c>
      <c r="AZ44" s="486">
        <f t="shared" si="180"/>
        <v>99.5</v>
      </c>
      <c r="BA44" s="95">
        <v>0.99330580285782832</v>
      </c>
      <c r="BB44" s="95">
        <v>1.2349800450330226</v>
      </c>
      <c r="BC44" s="95">
        <v>1.1045610713258731</v>
      </c>
      <c r="BD44" s="96">
        <f t="shared" si="181"/>
        <v>77.16</v>
      </c>
      <c r="BE44" s="95">
        <v>0.97569608354351034</v>
      </c>
      <c r="BF44" s="95">
        <v>1.0199429606771673</v>
      </c>
      <c r="BG44" s="95">
        <v>1.0869513520115845</v>
      </c>
      <c r="BH44" s="96">
        <f t="shared" si="182"/>
        <v>177</v>
      </c>
      <c r="BJ44" s="182"/>
      <c r="BK44" s="252"/>
      <c r="BL44" s="253"/>
      <c r="BM44" s="253"/>
      <c r="BN44" s="252"/>
      <c r="BO44" s="253"/>
      <c r="BP44" s="254"/>
      <c r="BQ44" s="252"/>
      <c r="BR44" s="253"/>
      <c r="BS44" s="254"/>
      <c r="BT44" s="252"/>
      <c r="BU44" s="253"/>
      <c r="BV44" s="254"/>
      <c r="BW44" s="252"/>
      <c r="BX44" s="253"/>
      <c r="BY44" s="254"/>
      <c r="BZ44" s="131">
        <f t="shared" si="202"/>
        <v>0</v>
      </c>
      <c r="CA44" s="132">
        <f t="shared" si="202"/>
        <v>0</v>
      </c>
      <c r="CB44" s="132">
        <f t="shared" si="202"/>
        <v>0</v>
      </c>
      <c r="CC44" s="132">
        <f t="shared" si="202"/>
        <v>0</v>
      </c>
      <c r="CD44" s="132">
        <f t="shared" si="202"/>
        <v>0</v>
      </c>
      <c r="CE44" s="133">
        <f t="shared" si="202"/>
        <v>0</v>
      </c>
      <c r="CF44" s="131">
        <f t="shared" si="202"/>
        <v>0</v>
      </c>
      <c r="CG44" s="132">
        <f t="shared" si="202"/>
        <v>0</v>
      </c>
      <c r="CH44" s="132">
        <f t="shared" si="202"/>
        <v>0</v>
      </c>
      <c r="CI44" s="132">
        <f t="shared" si="202"/>
        <v>0</v>
      </c>
      <c r="CJ44" s="132">
        <f t="shared" si="202"/>
        <v>0</v>
      </c>
      <c r="CK44" s="131">
        <f t="shared" si="202"/>
        <v>0</v>
      </c>
      <c r="CL44" s="132">
        <f t="shared" si="202"/>
        <v>0</v>
      </c>
      <c r="CM44" s="133">
        <f t="shared" si="202"/>
        <v>0</v>
      </c>
      <c r="CN44" s="384"/>
      <c r="CO44" s="380"/>
      <c r="CP44" s="380"/>
      <c r="CQ44" s="380"/>
      <c r="CR44" s="380"/>
      <c r="CS44" s="381"/>
      <c r="CT44" s="384"/>
      <c r="CU44" s="380"/>
      <c r="CV44" s="380"/>
      <c r="CW44" s="380"/>
      <c r="CX44" s="381"/>
      <c r="CY44" s="380"/>
      <c r="CZ44" s="380"/>
      <c r="DA44" s="427"/>
      <c r="DB44" s="384"/>
      <c r="DC44" s="380"/>
      <c r="DD44" s="380"/>
      <c r="DE44" s="380"/>
      <c r="DF44" s="380"/>
      <c r="DG44" s="381"/>
      <c r="DH44" s="384"/>
      <c r="DI44" s="380"/>
      <c r="DJ44" s="380"/>
      <c r="DK44" s="380"/>
      <c r="DL44" s="381"/>
      <c r="DM44" s="380"/>
      <c r="DN44" s="380"/>
      <c r="DO44" s="427"/>
      <c r="DP44" s="426"/>
      <c r="DQ44" s="380"/>
      <c r="DR44" s="380"/>
      <c r="DS44" s="380"/>
      <c r="DT44" s="380"/>
      <c r="DU44" s="381"/>
      <c r="DV44" s="375"/>
      <c r="DW44" s="382"/>
      <c r="DX44" s="382"/>
      <c r="DY44" s="382"/>
      <c r="DZ44" s="383"/>
      <c r="EA44" s="380"/>
      <c r="EB44" s="380"/>
      <c r="EC44" s="427"/>
      <c r="ED44" s="424"/>
      <c r="EE44" s="113">
        <v>-2.73555321E-6</v>
      </c>
      <c r="EF44" s="113">
        <v>7.1732744999999996E-4</v>
      </c>
      <c r="EG44" s="113">
        <v>-6.4910106600000003E-2</v>
      </c>
      <c r="EH44" s="113">
        <v>-4.6986485</v>
      </c>
      <c r="EI44" s="116">
        <v>1592.45937</v>
      </c>
      <c r="EJ44" s="378"/>
      <c r="EK44" s="115">
        <v>-4.6523629099999999E-8</v>
      </c>
      <c r="EL44" s="113">
        <v>1.07284522E-4</v>
      </c>
      <c r="EM44" s="113">
        <v>3.6291888800000002E-3</v>
      </c>
      <c r="EN44" s="116">
        <v>63.600096999999998</v>
      </c>
      <c r="EO44" s="395">
        <v>-1.36411791E-4</v>
      </c>
      <c r="EP44" s="395">
        <v>4.86644725E-2</v>
      </c>
      <c r="EQ44" s="433">
        <v>1761.2208800000001</v>
      </c>
      <c r="ER44" s="444"/>
      <c r="ES44" s="441"/>
      <c r="ET44" s="443"/>
      <c r="EU44" s="441"/>
      <c r="EV44" s="443"/>
      <c r="EW44" s="441"/>
      <c r="EX44" s="443"/>
      <c r="EY44" s="442"/>
      <c r="EZ44" s="137">
        <f t="shared" si="203"/>
        <v>17</v>
      </c>
      <c r="FA44" s="143">
        <f>((FA45-FA43)/2)+FA43</f>
        <v>17</v>
      </c>
      <c r="FB44" s="143">
        <f t="shared" si="204"/>
        <v>17</v>
      </c>
      <c r="FC44" s="143">
        <f t="shared" si="205"/>
        <v>17</v>
      </c>
      <c r="FD44" s="143">
        <f t="shared" si="206"/>
        <v>17</v>
      </c>
      <c r="FE44" s="143">
        <f>((FE45-FE43)/2)+FE43</f>
        <v>18.2</v>
      </c>
      <c r="FF44" s="497">
        <f t="shared" si="207"/>
        <v>17</v>
      </c>
      <c r="FG44" s="497">
        <f>((FG45-FG43)/2)+FG43</f>
        <v>18.375</v>
      </c>
      <c r="FH44" s="497">
        <f t="shared" si="208"/>
        <v>17</v>
      </c>
      <c r="FJ44" s="344">
        <f t="shared" si="209"/>
        <v>0</v>
      </c>
      <c r="FK44" s="241">
        <f t="shared" si="210"/>
        <v>1.175</v>
      </c>
      <c r="FL44" s="495">
        <f t="shared" si="211"/>
        <v>1.4700000000000002</v>
      </c>
      <c r="FM44" s="230">
        <f t="shared" si="252"/>
        <v>0</v>
      </c>
      <c r="FN44" s="226">
        <f>((FN45-FN43)/2)+FN43</f>
        <v>955.74967399999991</v>
      </c>
      <c r="FO44" s="226">
        <f>((FO45-FO43)/2)+FO43</f>
        <v>1587.9130150000001</v>
      </c>
      <c r="FP44" s="222">
        <f>FN44/FO44</f>
        <v>0.60189044675095116</v>
      </c>
      <c r="FQ44" s="238">
        <f t="shared" si="212"/>
        <v>0</v>
      </c>
      <c r="FR44" s="241">
        <f t="shared" si="213"/>
        <v>0</v>
      </c>
      <c r="FS44" s="242">
        <f t="shared" si="253"/>
        <v>632.16334100000017</v>
      </c>
      <c r="FT44" s="248">
        <f t="shared" si="254"/>
        <v>0</v>
      </c>
      <c r="FU44" s="224">
        <f t="shared" si="258"/>
        <v>17</v>
      </c>
      <c r="FV44" s="219">
        <f t="shared" si="214"/>
        <v>21.150000000000002</v>
      </c>
      <c r="FW44" s="224">
        <f t="shared" si="259"/>
        <v>4.1500000000000021</v>
      </c>
      <c r="FX44" s="224">
        <f t="shared" si="215"/>
        <v>23.520000000000003</v>
      </c>
      <c r="FY44" s="224">
        <f t="shared" si="260"/>
        <v>6.5200000000000031</v>
      </c>
      <c r="FZ44" s="224">
        <f t="shared" si="261"/>
        <v>17</v>
      </c>
      <c r="GA44" s="500">
        <f t="shared" si="216"/>
        <v>17</v>
      </c>
      <c r="GC44" s="161">
        <f t="shared" si="217"/>
        <v>15.69066559142683</v>
      </c>
      <c r="GE44" s="259">
        <f t="shared" si="218"/>
        <v>0</v>
      </c>
      <c r="GG44" s="305">
        <f t="shared" si="219"/>
        <v>2334.1781978570243</v>
      </c>
      <c r="GH44" s="305" t="e">
        <f t="shared" si="220"/>
        <v>#DIV/0!</v>
      </c>
      <c r="GI44" s="305">
        <f t="shared" si="221"/>
        <v>1167.0890989285122</v>
      </c>
      <c r="GJ44" s="305">
        <f t="shared" si="222"/>
        <v>1167.0890989285119</v>
      </c>
      <c r="GK44" s="305">
        <f t="shared" si="223"/>
        <v>7.2478490515896785E-3</v>
      </c>
      <c r="GL44" s="305">
        <f t="shared" si="15"/>
        <v>7.2478490515896785E-3</v>
      </c>
      <c r="GM44" s="305">
        <f t="shared" si="224"/>
        <v>38.490692183503647</v>
      </c>
      <c r="GN44" s="305" t="e">
        <f t="shared" si="225"/>
        <v>#DIV/0!</v>
      </c>
      <c r="GO44" s="306" t="e">
        <f t="shared" si="16"/>
        <v>#DIV/0!</v>
      </c>
      <c r="GQ44" s="305">
        <f t="shared" si="226"/>
        <v>3557.0118570174286</v>
      </c>
      <c r="GR44" s="305" t="e">
        <f t="shared" si="227"/>
        <v>#DIV/0!</v>
      </c>
      <c r="GS44" s="305">
        <f t="shared" si="228"/>
        <v>1778.5059285087143</v>
      </c>
      <c r="GT44" s="305">
        <f t="shared" si="229"/>
        <v>1778.5059285087143</v>
      </c>
      <c r="GU44" s="305" t="e">
        <f t="shared" si="230"/>
        <v>#DIV/0!</v>
      </c>
      <c r="GV44" s="307">
        <f t="shared" si="231"/>
        <v>1.1112703645172665E-2</v>
      </c>
      <c r="GW44" s="307">
        <f t="shared" si="232"/>
        <v>1.1112703645172665E-2</v>
      </c>
      <c r="GX44" s="305" t="e">
        <f t="shared" si="233"/>
        <v>#DIV/0!</v>
      </c>
      <c r="GY44" s="305">
        <f t="shared" si="234"/>
        <v>55.477839519976428</v>
      </c>
      <c r="GZ44" s="305" t="e">
        <f t="shared" si="235"/>
        <v>#DIV/0!</v>
      </c>
      <c r="HA44" s="305" t="e">
        <f t="shared" si="236"/>
        <v>#DIV/0!</v>
      </c>
      <c r="HB44" s="305">
        <f t="shared" si="17"/>
        <v>19.415087041495514</v>
      </c>
      <c r="HC44" s="305" t="e">
        <f t="shared" si="18"/>
        <v>#DIV/0!</v>
      </c>
      <c r="HD44" s="529">
        <f t="shared" si="237"/>
        <v>60.772153152502042</v>
      </c>
      <c r="HE44" s="57">
        <f t="shared" si="7"/>
        <v>0</v>
      </c>
      <c r="HF44" s="57">
        <f t="shared" si="238"/>
        <v>60.772153152502042</v>
      </c>
      <c r="HG44" s="525">
        <f t="shared" si="9"/>
        <v>17</v>
      </c>
      <c r="HH44" s="57">
        <f t="shared" si="10"/>
        <v>17</v>
      </c>
      <c r="HI44" s="503">
        <f t="shared" si="75"/>
        <v>60.772153152502042</v>
      </c>
      <c r="HJ44" s="2">
        <f t="shared" si="90"/>
        <v>1</v>
      </c>
      <c r="HK44" s="503">
        <f t="shared" si="76"/>
        <v>60.772153152502042</v>
      </c>
      <c r="HL44" s="344">
        <f t="shared" si="239"/>
        <v>0</v>
      </c>
      <c r="HM44" s="241">
        <f t="shared" si="240"/>
        <v>1.175</v>
      </c>
      <c r="HN44" s="495">
        <f t="shared" si="241"/>
        <v>1.4700000000000002</v>
      </c>
      <c r="HO44" s="230">
        <f t="shared" si="255"/>
        <v>0</v>
      </c>
      <c r="HP44" s="226">
        <f>((HP45-HP43)/2)+HP43</f>
        <v>955.74967399999991</v>
      </c>
      <c r="HQ44" s="226">
        <f t="shared" si="80"/>
        <v>1592.45937</v>
      </c>
      <c r="HR44" s="222">
        <f>HP44/HQ44</f>
        <v>0.60017209355865697</v>
      </c>
      <c r="HS44" s="251">
        <f t="shared" si="11"/>
        <v>0</v>
      </c>
      <c r="HT44" s="241">
        <f t="shared" si="243"/>
        <v>0</v>
      </c>
      <c r="HU44" s="242">
        <f t="shared" si="256"/>
        <v>636.70969600000012</v>
      </c>
      <c r="HV44" s="248">
        <f t="shared" si="257"/>
        <v>0</v>
      </c>
      <c r="HW44" s="224">
        <f t="shared" si="12"/>
        <v>17</v>
      </c>
      <c r="HX44" s="219">
        <f t="shared" si="244"/>
        <v>21.150000000000002</v>
      </c>
      <c r="HY44" s="224">
        <f t="shared" si="262"/>
        <v>4.1500000000000021</v>
      </c>
      <c r="HZ44" s="224">
        <f t="shared" si="245"/>
        <v>23.520000000000003</v>
      </c>
      <c r="IA44" s="224">
        <f t="shared" si="263"/>
        <v>6.5200000000000031</v>
      </c>
      <c r="IB44" s="224">
        <f t="shared" si="264"/>
        <v>17</v>
      </c>
      <c r="IC44" s="500">
        <f t="shared" si="246"/>
        <v>17</v>
      </c>
      <c r="IE44" s="161">
        <f t="shared" si="247"/>
        <v>15.69066559142683</v>
      </c>
      <c r="IG44" s="259">
        <f t="shared" si="248"/>
        <v>6.1648013234821483E-2</v>
      </c>
      <c r="II44" s="305">
        <f t="shared" si="249"/>
        <v>2334.1781978570243</v>
      </c>
      <c r="IJ44" s="305" t="e">
        <f t="shared" si="250"/>
        <v>#DIV/0!</v>
      </c>
    </row>
    <row r="45" spans="2:244" ht="15" customHeight="1" x14ac:dyDescent="0.25">
      <c r="B45" s="195">
        <f>IF($AL$5=1,$C45/10,IF($AL$5=2,$C45/10,IF($AL$5=3,1,IF($AL$5=4,$C45/10,))))</f>
        <v>0.8</v>
      </c>
      <c r="C45" s="336">
        <v>8</v>
      </c>
      <c r="D45" s="329">
        <f t="shared" si="183"/>
        <v>11633.709333979707</v>
      </c>
      <c r="E45" s="30">
        <f t="shared" si="184"/>
        <v>1000</v>
      </c>
      <c r="F45" s="330">
        <f t="shared" si="185"/>
        <v>9.7667838123641371</v>
      </c>
      <c r="G45" s="329">
        <f t="shared" si="186"/>
        <v>2251.0150320970106</v>
      </c>
      <c r="H45" s="32">
        <f t="shared" si="187"/>
        <v>2251.0150320970106</v>
      </c>
      <c r="I45" s="30">
        <f>IF(Geg_dP&lt;AB45,ROUND(((IF('Briza 22 &amp; 26'!$M$4="High Perform. 208/230V (US/EU)",cal!HK45,H45)/Watts)/((Tr_cool-Tv_cool)*1.163))*FlowH2O,IF(UnitsNo=1,0,IF(UnitsNo=2,2))),"")</f>
        <v>968</v>
      </c>
      <c r="J45" s="330">
        <f t="shared" si="188"/>
        <v>9.1966577675101533</v>
      </c>
      <c r="K45" s="333">
        <f t="shared" si="189"/>
        <v>49</v>
      </c>
      <c r="L45" s="297">
        <f>IF(Geg_dP&lt;$AB45,IF(CalcNo="12",$ET45,IF(CalcNo="22",$ET45,IF(CalcNo="13",$EU45,IF(CalcNo="23",$EU45,IF(CalcNo="11",$ER45,IF(CalcNo="21",$ER45,IF(CalcNo="14",$ES45,IF(CalcNo="24",$ES45,IF(CalcNo="32",$EX45,IF(CalcNo="42",$EX45,IF(CalcNo="33",$EY45,IF(CalcNo="43",$EY45,IF(CalcNo="31",$EV45,IF(CalcNo="41",$EV45,IF(CalcNo="34",$EW45,IF(CalcNo="44",$EW45,)))))))))))))))),"")</f>
        <v>57</v>
      </c>
      <c r="M45" s="198">
        <f t="shared" si="190"/>
        <v>62.847337908541164</v>
      </c>
      <c r="N45" s="197">
        <f t="shared" si="191"/>
        <v>1071.6468</v>
      </c>
      <c r="O45" s="480">
        <f t="shared" si="192"/>
        <v>1.0824715151515152</v>
      </c>
      <c r="P45" s="198">
        <f t="shared" si="193"/>
        <v>51.86561652728416</v>
      </c>
      <c r="Q45" s="297">
        <f t="shared" si="194"/>
        <v>23.758602347022869</v>
      </c>
      <c r="R45" s="509">
        <f t="shared" si="195"/>
        <v>20.756835807330418</v>
      </c>
      <c r="S45" s="36">
        <f t="shared" si="196"/>
        <v>17.397403195646138</v>
      </c>
      <c r="T45" s="300">
        <f t="shared" si="197"/>
        <v>0.72721514137195786</v>
      </c>
      <c r="U45" s="416">
        <f t="shared" si="198"/>
        <v>989.66612103841953</v>
      </c>
      <c r="V45" s="483">
        <f t="shared" si="199"/>
        <v>0.21112405362545589</v>
      </c>
      <c r="W45" s="513">
        <f t="shared" si="200"/>
        <v>2.1005195294727801</v>
      </c>
      <c r="X45" s="56">
        <f t="shared" si="1"/>
        <v>0.99324299999999999</v>
      </c>
      <c r="Y45" s="56">
        <f t="shared" si="166"/>
        <v>1.23546</v>
      </c>
      <c r="Z45" s="56">
        <f t="shared" si="167"/>
        <v>1.10433</v>
      </c>
      <c r="AA45" s="56">
        <f t="shared" si="13"/>
        <v>0.99324299999999999</v>
      </c>
      <c r="AB45" s="56">
        <f t="shared" si="14"/>
        <v>95.98</v>
      </c>
      <c r="AC45" s="95">
        <v>0.99324299999999999</v>
      </c>
      <c r="AD45" s="95">
        <v>1.23546</v>
      </c>
      <c r="AE45" s="95">
        <v>1.10433</v>
      </c>
      <c r="AF45" s="96">
        <v>81</v>
      </c>
      <c r="AG45" s="95">
        <v>0.99324299999999999</v>
      </c>
      <c r="AH45" s="95">
        <v>1.23546</v>
      </c>
      <c r="AI45" s="95">
        <v>1.10433</v>
      </c>
      <c r="AJ45" s="486">
        <v>124</v>
      </c>
      <c r="AK45" s="487">
        <v>0.99324299999999999</v>
      </c>
      <c r="AL45" s="487">
        <v>1.23546</v>
      </c>
      <c r="AM45" s="487">
        <v>1.10433</v>
      </c>
      <c r="AN45" s="486">
        <v>95.98</v>
      </c>
      <c r="AO45" s="487">
        <v>1.0288573703986699</v>
      </c>
      <c r="AP45" s="487">
        <v>1.5348139398733884</v>
      </c>
      <c r="AQ45" s="487">
        <v>1.1401126388667442</v>
      </c>
      <c r="AR45" s="486">
        <v>214.28</v>
      </c>
      <c r="AS45" s="487">
        <v>0.99324299999999999</v>
      </c>
      <c r="AT45" s="487">
        <v>1.23546</v>
      </c>
      <c r="AU45" s="487">
        <v>1.10433</v>
      </c>
      <c r="AV45" s="486">
        <f t="shared" si="179"/>
        <v>81</v>
      </c>
      <c r="AW45" s="487">
        <v>0.99324299999999999</v>
      </c>
      <c r="AX45" s="487">
        <v>1.23546</v>
      </c>
      <c r="AY45" s="487">
        <v>1.10433</v>
      </c>
      <c r="AZ45" s="486">
        <f t="shared" si="180"/>
        <v>124</v>
      </c>
      <c r="BA45" s="95">
        <v>0.99330580285782832</v>
      </c>
      <c r="BB45" s="95">
        <v>1.2349800450330226</v>
      </c>
      <c r="BC45" s="95">
        <v>1.1045610713258731</v>
      </c>
      <c r="BD45" s="96">
        <f t="shared" si="181"/>
        <v>95.98</v>
      </c>
      <c r="BE45" s="95">
        <v>0.97569608354351034</v>
      </c>
      <c r="BF45" s="95">
        <v>1.0199429606771673</v>
      </c>
      <c r="BG45" s="95">
        <v>1.0869513520115845</v>
      </c>
      <c r="BH45" s="96">
        <f t="shared" si="182"/>
        <v>214.28</v>
      </c>
      <c r="BJ45" s="182"/>
      <c r="BK45" s="82">
        <f t="shared" ref="BK45:BM46" si="265">IF($BK$17="11",BN45,IF($BK$17="21",BQ45,IF($BK$17="12",BN45,IF($BK$17="22",BQ45,IF($BK$17="13",BN45,IF($BK$17="23",BQ45,IF($BK$17="14",BN45,IF($BK$17="24",BQ45,IF($BK$17="31",BT45,IF($BK$17="41",BW45,IF($BK$17="32",BT45,IF($BK$17="42",BW45,IF($BK$17="33",BT45,IF($BK$17="43",BW45,IF($BK$17="34",BT45,IF($BK$17="44",BW45,))))))))))))))))</f>
        <v>7.4429997400000003</v>
      </c>
      <c r="BL45" s="83">
        <f t="shared" si="265"/>
        <v>4.4461865500000002</v>
      </c>
      <c r="BM45" s="83">
        <f t="shared" si="265"/>
        <v>2.7648500000000001E-5</v>
      </c>
      <c r="BN45" s="103">
        <v>7.4429997400000003</v>
      </c>
      <c r="BO45" s="104">
        <v>4.4461865500000002</v>
      </c>
      <c r="BP45" s="105">
        <v>2.7648500000000001E-5</v>
      </c>
      <c r="BQ45" s="103">
        <v>2.90603525</v>
      </c>
      <c r="BR45" s="104">
        <f>BO45</f>
        <v>4.4461865500000002</v>
      </c>
      <c r="BS45" s="105">
        <f>+BP45</f>
        <v>2.7648500000000001E-5</v>
      </c>
      <c r="BT45" s="103">
        <v>8.0934872099999993</v>
      </c>
      <c r="BU45" s="104">
        <v>5.7589528799999998</v>
      </c>
      <c r="BV45" s="105">
        <v>2.3136994500000001E-5</v>
      </c>
      <c r="BW45" s="103">
        <f>BQ45</f>
        <v>2.90603525</v>
      </c>
      <c r="BX45" s="104">
        <f>BU45</f>
        <v>5.7589528799999998</v>
      </c>
      <c r="BY45" s="105">
        <f>+BV45</f>
        <v>2.3136994500000001E-5</v>
      </c>
      <c r="BZ45" s="131">
        <f t="shared" si="202"/>
        <v>0</v>
      </c>
      <c r="CA45" s="132">
        <f t="shared" si="202"/>
        <v>1.82284485E-6</v>
      </c>
      <c r="CB45" s="132">
        <f t="shared" si="202"/>
        <v>-4.9248459099999998E-4</v>
      </c>
      <c r="CC45" s="132">
        <f t="shared" si="202"/>
        <v>1.9124106700000001E-2</v>
      </c>
      <c r="CD45" s="132">
        <f t="shared" si="202"/>
        <v>-9.80045097</v>
      </c>
      <c r="CE45" s="133">
        <f t="shared" si="202"/>
        <v>1071.6468</v>
      </c>
      <c r="CF45" s="131">
        <f t="shared" si="202"/>
        <v>0</v>
      </c>
      <c r="CG45" s="132">
        <f t="shared" si="202"/>
        <v>-2.6243042700000001E-8</v>
      </c>
      <c r="CH45" s="132">
        <f t="shared" si="202"/>
        <v>4.6013590800000002E-5</v>
      </c>
      <c r="CI45" s="132">
        <f t="shared" si="202"/>
        <v>1.16905212E-2</v>
      </c>
      <c r="CJ45" s="132">
        <f t="shared" si="202"/>
        <v>29.773506399999999</v>
      </c>
      <c r="CK45" s="131">
        <f t="shared" si="202"/>
        <v>-8.8502258100000005E-5</v>
      </c>
      <c r="CL45" s="132">
        <f t="shared" si="202"/>
        <v>-0.23454777099999999</v>
      </c>
      <c r="CM45" s="133">
        <f t="shared" si="202"/>
        <v>1342.6568600000001</v>
      </c>
      <c r="CN45" s="357"/>
      <c r="CO45" s="113">
        <v>1.32555195E-5</v>
      </c>
      <c r="CP45" s="113">
        <v>-2.0228005699999998E-3</v>
      </c>
      <c r="CQ45" s="113">
        <v>8.7659796900000003E-2</v>
      </c>
      <c r="CR45" s="113">
        <v>-11.575239699999999</v>
      </c>
      <c r="CS45" s="116">
        <v>868.38530000000003</v>
      </c>
      <c r="CT45" s="357"/>
      <c r="CU45" s="115">
        <v>-1.7350282600000001E-8</v>
      </c>
      <c r="CV45" s="113">
        <v>3.0757565299999997E-5</v>
      </c>
      <c r="CW45" s="113">
        <v>1.1616122899999999E-2</v>
      </c>
      <c r="CX45" s="116">
        <v>28.7808782</v>
      </c>
      <c r="CY45" s="113">
        <v>-1.61340502E-4</v>
      </c>
      <c r="CZ45" s="113">
        <v>6.6675460799999996E-3</v>
      </c>
      <c r="DA45" s="423">
        <v>1060.9987799999999</v>
      </c>
      <c r="DB45" s="357"/>
      <c r="DC45" s="113">
        <v>-6.6434244100000005E-7</v>
      </c>
      <c r="DD45" s="113">
        <v>2.3566260099999999E-4</v>
      </c>
      <c r="DE45" s="113">
        <v>-4.1872957099999997E-2</v>
      </c>
      <c r="DF45" s="113">
        <v>-7.2816584799999999</v>
      </c>
      <c r="DG45" s="116">
        <v>1274.56628</v>
      </c>
      <c r="DH45" s="357"/>
      <c r="DI45" s="115">
        <v>-8.5743756599999992E-9</v>
      </c>
      <c r="DJ45" s="113">
        <v>2.0088019700000001E-5</v>
      </c>
      <c r="DK45" s="113">
        <v>2.5652675400000002E-2</v>
      </c>
      <c r="DL45" s="116">
        <v>49.848227700000002</v>
      </c>
      <c r="DM45" s="113">
        <v>7.1952882200000001E-5</v>
      </c>
      <c r="DN45" s="113">
        <v>-0.27211901500000002</v>
      </c>
      <c r="DO45" s="423">
        <v>1663.0553500000001</v>
      </c>
      <c r="DP45" s="422"/>
      <c r="DQ45" s="113">
        <v>1.82284485E-6</v>
      </c>
      <c r="DR45" s="113">
        <v>-4.9248459099999998E-4</v>
      </c>
      <c r="DS45" s="113">
        <v>1.9124106700000001E-2</v>
      </c>
      <c r="DT45" s="113">
        <v>-9.80045097</v>
      </c>
      <c r="DU45" s="116">
        <v>1071.6468</v>
      </c>
      <c r="DV45" s="378"/>
      <c r="DW45" s="126">
        <v>-2.6243042700000001E-8</v>
      </c>
      <c r="DX45" s="120">
        <v>4.6013590800000002E-5</v>
      </c>
      <c r="DY45" s="120">
        <v>1.16905212E-2</v>
      </c>
      <c r="DZ45" s="114">
        <v>29.773506399999999</v>
      </c>
      <c r="EA45" s="113">
        <f xml:space="preserve"> -0.0000885022581</f>
        <v>-8.8502258100000005E-5</v>
      </c>
      <c r="EB45" s="113">
        <v>-0.23454777099999999</v>
      </c>
      <c r="EC45" s="423">
        <v>1342.6568600000001</v>
      </c>
      <c r="ED45" s="434">
        <v>4.28774956E-8</v>
      </c>
      <c r="EE45" s="113">
        <v>-2.2345693300000001E-5</v>
      </c>
      <c r="EF45" s="113">
        <v>3.8278670700000001E-3</v>
      </c>
      <c r="EG45" s="113">
        <v>-0.25513376599999998</v>
      </c>
      <c r="EH45" s="113">
        <v>0.58914216799999997</v>
      </c>
      <c r="EI45" s="116">
        <v>1676.24395</v>
      </c>
      <c r="EJ45" s="112">
        <f xml:space="preserve"> 0.0000000000349978885</f>
        <v>3.4997888500000001E-11</v>
      </c>
      <c r="EK45" s="113">
        <v>-1.8439778999999999E-7</v>
      </c>
      <c r="EL45" s="113">
        <v>2.7476176099999999E-4</v>
      </c>
      <c r="EM45" s="113">
        <v>-4.9968045900000001E-2</v>
      </c>
      <c r="EN45" s="116">
        <v>81.759720099999996</v>
      </c>
      <c r="EO45" s="395">
        <v>-2.5339345699999999E-4</v>
      </c>
      <c r="EP45" s="395">
        <v>0.22410923099999999</v>
      </c>
      <c r="EQ45" s="433">
        <v>1888.7802200000001</v>
      </c>
      <c r="ER45" s="137">
        <v>57</v>
      </c>
      <c r="ES45" s="365"/>
      <c r="ET45" s="137">
        <v>57</v>
      </c>
      <c r="EU45" s="365"/>
      <c r="EV45" s="137">
        <f>EX45</f>
        <v>58.5</v>
      </c>
      <c r="EW45" s="365"/>
      <c r="EX45" s="137">
        <v>58.5</v>
      </c>
      <c r="EY45" s="365"/>
      <c r="EZ45" s="137">
        <f t="shared" si="203"/>
        <v>17.5</v>
      </c>
      <c r="FA45" s="143">
        <f>Tavg_cold</f>
        <v>17</v>
      </c>
      <c r="FB45" s="143">
        <f t="shared" si="204"/>
        <v>17.5</v>
      </c>
      <c r="FC45" s="143">
        <f t="shared" si="205"/>
        <v>17.5</v>
      </c>
      <c r="FD45" s="143">
        <f t="shared" si="206"/>
        <v>17.5</v>
      </c>
      <c r="FE45" s="145">
        <f t="shared" si="251"/>
        <v>18.2</v>
      </c>
      <c r="FF45" s="497">
        <f t="shared" si="207"/>
        <v>17.5</v>
      </c>
      <c r="FG45" s="497">
        <f>FH45*1.05</f>
        <v>18.375</v>
      </c>
      <c r="FH45" s="497">
        <f t="shared" si="208"/>
        <v>17.5</v>
      </c>
      <c r="FJ45" s="344">
        <f t="shared" si="209"/>
        <v>0.5</v>
      </c>
      <c r="FK45" s="241">
        <f t="shared" si="210"/>
        <v>1.175</v>
      </c>
      <c r="FL45" s="495">
        <f t="shared" si="211"/>
        <v>1.4700000000000002</v>
      </c>
      <c r="FM45" s="230">
        <f t="shared" si="252"/>
        <v>0.63931434323745062</v>
      </c>
      <c r="FN45" s="226">
        <f>DU45</f>
        <v>1071.6468</v>
      </c>
      <c r="FO45" s="226">
        <f>EI45</f>
        <v>1676.24395</v>
      </c>
      <c r="FP45" s="222">
        <f>FP46</f>
        <v>0.73144268768278031</v>
      </c>
      <c r="FQ45" s="238">
        <f t="shared" si="212"/>
        <v>1071.6468</v>
      </c>
      <c r="FR45" s="241">
        <f t="shared" si="213"/>
        <v>0</v>
      </c>
      <c r="FS45" s="242">
        <f t="shared" si="253"/>
        <v>450.16757000000001</v>
      </c>
      <c r="FT45" s="248">
        <f t="shared" si="254"/>
        <v>0</v>
      </c>
      <c r="FU45" s="224">
        <f t="shared" si="258"/>
        <v>17.5</v>
      </c>
      <c r="FV45" s="219">
        <f t="shared" si="214"/>
        <v>21.150000000000002</v>
      </c>
      <c r="FW45" s="224">
        <f t="shared" si="259"/>
        <v>3.6500000000000021</v>
      </c>
      <c r="FX45" s="224">
        <f t="shared" si="215"/>
        <v>23.520000000000003</v>
      </c>
      <c r="FY45" s="224">
        <f t="shared" si="260"/>
        <v>6.0200000000000031</v>
      </c>
      <c r="FZ45" s="224">
        <f t="shared" si="261"/>
        <v>17.5</v>
      </c>
      <c r="GA45" s="500">
        <f t="shared" si="216"/>
        <v>17.5</v>
      </c>
      <c r="GC45" s="161">
        <f t="shared" si="217"/>
        <v>15.69066559142683</v>
      </c>
      <c r="GE45" s="259">
        <f t="shared" si="218"/>
        <v>0</v>
      </c>
      <c r="GG45" s="305">
        <f t="shared" si="219"/>
        <v>2334.1781978570243</v>
      </c>
      <c r="GH45" s="305">
        <f t="shared" si="220"/>
        <v>13472.653603744153</v>
      </c>
      <c r="GI45" s="305">
        <f t="shared" si="221"/>
        <v>1167.0890989285122</v>
      </c>
      <c r="GJ45" s="305">
        <f t="shared" si="222"/>
        <v>1167.0890989285119</v>
      </c>
      <c r="GK45" s="305">
        <f t="shared" si="223"/>
        <v>7.2478490515896785E-3</v>
      </c>
      <c r="GL45" s="305">
        <f t="shared" si="15"/>
        <v>7.2478490515896785E-3</v>
      </c>
      <c r="GM45" s="305">
        <f t="shared" si="224"/>
        <v>38.490692183503647</v>
      </c>
      <c r="GN45" s="305">
        <f t="shared" si="225"/>
        <v>70.947526717267095</v>
      </c>
      <c r="GO45" s="306">
        <f t="shared" si="16"/>
        <v>8.6626520153696304E-2</v>
      </c>
      <c r="GQ45" s="305">
        <f t="shared" si="226"/>
        <v>3557.0118570174286</v>
      </c>
      <c r="GR45" s="305">
        <f t="shared" si="227"/>
        <v>2445.639298919712</v>
      </c>
      <c r="GS45" s="305">
        <f t="shared" si="228"/>
        <v>1778.5059285087143</v>
      </c>
      <c r="GT45" s="305">
        <f t="shared" si="229"/>
        <v>1778.5059285087143</v>
      </c>
      <c r="GU45" s="305">
        <f t="shared" si="230"/>
        <v>1778.5059285087143</v>
      </c>
      <c r="GV45" s="307">
        <f t="shared" si="231"/>
        <v>1.1112703645172665E-2</v>
      </c>
      <c r="GW45" s="307">
        <f t="shared" si="232"/>
        <v>1.1112703645172665E-2</v>
      </c>
      <c r="GX45" s="305">
        <f t="shared" si="233"/>
        <v>1.1112703645172665E-2</v>
      </c>
      <c r="GY45" s="305">
        <f t="shared" si="234"/>
        <v>55.477839519976428</v>
      </c>
      <c r="GZ45" s="305">
        <f t="shared" si="235"/>
        <v>55.477839519976428</v>
      </c>
      <c r="HA45" s="305">
        <f t="shared" si="236"/>
        <v>49.073721835733487</v>
      </c>
      <c r="HB45" s="305">
        <f t="shared" si="17"/>
        <v>19.415087041495514</v>
      </c>
      <c r="HC45" s="305">
        <f t="shared" si="18"/>
        <v>19.415087041495514</v>
      </c>
      <c r="HD45" s="529">
        <f t="shared" si="237"/>
        <v>2251.0150320970106</v>
      </c>
      <c r="HE45" s="57">
        <f t="shared" si="7"/>
        <v>1071.6468</v>
      </c>
      <c r="HF45" s="57">
        <f t="shared" si="238"/>
        <v>2251.0150320970106</v>
      </c>
      <c r="HG45" s="525">
        <f t="shared" si="9"/>
        <v>17.5</v>
      </c>
      <c r="HH45" s="57">
        <f t="shared" si="10"/>
        <v>17.5</v>
      </c>
      <c r="HI45" s="503">
        <f t="shared" si="75"/>
        <v>2251.0150320970106</v>
      </c>
      <c r="HJ45" s="2">
        <f t="shared" si="90"/>
        <v>1</v>
      </c>
      <c r="HK45" s="503">
        <f t="shared" si="76"/>
        <v>2251.0150320970106</v>
      </c>
      <c r="HL45" s="344">
        <f t="shared" si="239"/>
        <v>0.5</v>
      </c>
      <c r="HM45" s="241">
        <f t="shared" si="240"/>
        <v>1.175</v>
      </c>
      <c r="HN45" s="495">
        <f t="shared" si="241"/>
        <v>1.4700000000000002</v>
      </c>
      <c r="HO45" s="230">
        <f t="shared" si="255"/>
        <v>0.63931434323745062</v>
      </c>
      <c r="HP45" s="226">
        <f t="shared" si="242"/>
        <v>1071.6468</v>
      </c>
      <c r="HQ45" s="226">
        <f t="shared" si="80"/>
        <v>1676.24395</v>
      </c>
      <c r="HR45" s="222">
        <f>HR46</f>
        <v>0.73144268768278031</v>
      </c>
      <c r="HS45" s="251">
        <f t="shared" si="11"/>
        <v>1071.6468</v>
      </c>
      <c r="HT45" s="241">
        <f t="shared" si="243"/>
        <v>0</v>
      </c>
      <c r="HU45" s="242">
        <f t="shared" si="256"/>
        <v>450.16757000000001</v>
      </c>
      <c r="HV45" s="248">
        <f t="shared" si="257"/>
        <v>0</v>
      </c>
      <c r="HW45" s="224">
        <f t="shared" si="12"/>
        <v>17.5</v>
      </c>
      <c r="HX45" s="219">
        <f t="shared" si="244"/>
        <v>21.150000000000002</v>
      </c>
      <c r="HY45" s="224">
        <f t="shared" si="262"/>
        <v>3.6500000000000021</v>
      </c>
      <c r="HZ45" s="224">
        <f t="shared" si="245"/>
        <v>23.520000000000003</v>
      </c>
      <c r="IA45" s="224">
        <f t="shared" si="263"/>
        <v>6.0200000000000031</v>
      </c>
      <c r="IB45" s="224">
        <f t="shared" si="264"/>
        <v>17.5</v>
      </c>
      <c r="IC45" s="500">
        <f t="shared" si="246"/>
        <v>17.5</v>
      </c>
      <c r="IE45" s="161">
        <f t="shared" si="247"/>
        <v>15.69066559142683</v>
      </c>
      <c r="IG45" s="259">
        <f t="shared" si="248"/>
        <v>6.1648013234821483E-2</v>
      </c>
      <c r="II45" s="305">
        <f t="shared" si="249"/>
        <v>2334.1781978570243</v>
      </c>
      <c r="IJ45" s="305">
        <f t="shared" si="250"/>
        <v>13472.653603744153</v>
      </c>
    </row>
    <row r="46" spans="2:244" ht="15" customHeight="1" x14ac:dyDescent="0.25">
      <c r="B46" s="195">
        <v>1</v>
      </c>
      <c r="C46" s="336">
        <v>10</v>
      </c>
      <c r="D46" s="329">
        <f t="shared" si="183"/>
        <v>12855.596219027644</v>
      </c>
      <c r="E46" s="30">
        <f t="shared" si="184"/>
        <v>1105</v>
      </c>
      <c r="F46" s="330">
        <f t="shared" si="185"/>
        <v>11.747461684507567</v>
      </c>
      <c r="G46" s="329">
        <f t="shared" si="186"/>
        <v>2532.5570501771672</v>
      </c>
      <c r="H46" s="32">
        <f t="shared" si="187"/>
        <v>2532.5570501771672</v>
      </c>
      <c r="I46" s="30">
        <f>IF(Geg_dP&lt;AB46,ROUND(((IF('Briza 22 &amp; 26'!$M$4="High Perform. 208/230V (US/EU)",cal!HK46,H46)/Watts)/((Tr_cool-Tv_cool)*1.163))*FlowH2O,IF(UnitsNo=1,0,IF(UnitsNo=2,2))),"")</f>
        <v>1089</v>
      </c>
      <c r="J46" s="330">
        <f t="shared" si="188"/>
        <v>11.434823207772123</v>
      </c>
      <c r="K46" s="333">
        <f t="shared" si="189"/>
        <v>52.5</v>
      </c>
      <c r="L46" s="297">
        <f>IF(Geg_dP&lt;$AB46,IF(CalcNo="12",$ET46,IF(CalcNo="22",$ET46,IF(CalcNo="13",$EU46,IF(CalcNo="23",$EU46,IF(CalcNo="11",$ER46,IF(CalcNo="21",$ER46,IF(CalcNo="14",$ES46,IF(CalcNo="24",$ES46,IF(CalcNo="32",$EX46,IF(CalcNo="42",$EX46,IF(CalcNo="33",$EY46,IF(CalcNo="43",$EY46,IF(CalcNo="31",$EV46,IF(CalcNo="41",$EV46,IF(CalcNo="34",$EW46,IF(CalcNo="44",$EW46,)))))))))))))))),"")</f>
        <v>60.5</v>
      </c>
      <c r="M46" s="198">
        <f>IF(Geg_dP&lt;$AB46,($CF46*(($N46*CFMs)^4))+($CG46*(($N46*CFMs)^3))+($CH46*(($N46*CFMs)^2))+($CI46*($N46*CFMs))+$CJ46,"")</f>
        <v>88.469646525776355</v>
      </c>
      <c r="N46" s="197">
        <f t="shared" si="191"/>
        <v>1226.07638</v>
      </c>
      <c r="O46" s="480">
        <f t="shared" si="192"/>
        <v>1.2384609898989898</v>
      </c>
      <c r="P46" s="198">
        <f t="shared" si="193"/>
        <v>50.777297704013513</v>
      </c>
      <c r="Q46" s="297">
        <f t="shared" si="194"/>
        <v>23.468951675913807</v>
      </c>
      <c r="R46" s="509">
        <f t="shared" si="195"/>
        <v>20.860687438241602</v>
      </c>
      <c r="S46" s="36">
        <f t="shared" si="196"/>
        <v>17.432192477371743</v>
      </c>
      <c r="T46" s="300">
        <f t="shared" si="197"/>
        <v>0.72259066367352387</v>
      </c>
      <c r="U46" s="416">
        <f t="shared" si="198"/>
        <v>1089.5664374920361</v>
      </c>
      <c r="V46" s="483">
        <f t="shared" si="199"/>
        <v>0.25976418165138693</v>
      </c>
      <c r="W46" s="513">
        <f t="shared" si="200"/>
        <v>2.0655785328620127</v>
      </c>
      <c r="X46" s="56">
        <f t="shared" si="1"/>
        <v>0.99324299999999999</v>
      </c>
      <c r="Y46" s="56">
        <f t="shared" si="166"/>
        <v>1.23546</v>
      </c>
      <c r="Z46" s="56">
        <f t="shared" si="167"/>
        <v>1.10433</v>
      </c>
      <c r="AA46" s="56">
        <f t="shared" si="13"/>
        <v>0.99324299999999999</v>
      </c>
      <c r="AB46" s="56">
        <f t="shared" si="14"/>
        <v>126.06</v>
      </c>
      <c r="AC46" s="95">
        <v>0.99324299999999999</v>
      </c>
      <c r="AD46" s="95">
        <v>1.23546</v>
      </c>
      <c r="AE46" s="95">
        <v>1.10433</v>
      </c>
      <c r="AF46" s="96">
        <v>107</v>
      </c>
      <c r="AG46" s="95">
        <v>0.99324299999999999</v>
      </c>
      <c r="AH46" s="95">
        <v>1.23546</v>
      </c>
      <c r="AI46" s="95">
        <v>1.10433</v>
      </c>
      <c r="AJ46" s="486">
        <v>153</v>
      </c>
      <c r="AK46" s="487">
        <v>0.99324299999999999</v>
      </c>
      <c r="AL46" s="487">
        <v>1.23546</v>
      </c>
      <c r="AM46" s="487">
        <v>1.10433</v>
      </c>
      <c r="AN46" s="486">
        <v>126.06</v>
      </c>
      <c r="AO46" s="487">
        <v>1.0288573703986699</v>
      </c>
      <c r="AP46" s="487">
        <v>1.5348139398733884</v>
      </c>
      <c r="AQ46" s="487">
        <v>1.1401126388667442</v>
      </c>
      <c r="AR46" s="486">
        <f>AR45</f>
        <v>214.28</v>
      </c>
      <c r="AS46" s="487">
        <v>0.99324299999999999</v>
      </c>
      <c r="AT46" s="487">
        <v>1.23546</v>
      </c>
      <c r="AU46" s="487">
        <v>1.10433</v>
      </c>
      <c r="AV46" s="486">
        <f t="shared" si="179"/>
        <v>107</v>
      </c>
      <c r="AW46" s="487">
        <v>0.99324299999999999</v>
      </c>
      <c r="AX46" s="487">
        <v>1.23546</v>
      </c>
      <c r="AY46" s="487">
        <v>1.10433</v>
      </c>
      <c r="AZ46" s="486">
        <f t="shared" si="180"/>
        <v>153</v>
      </c>
      <c r="BA46" s="95">
        <v>0.99330580285782832</v>
      </c>
      <c r="BB46" s="95">
        <v>1.2349800450330226</v>
      </c>
      <c r="BC46" s="95">
        <v>1.1045610713258731</v>
      </c>
      <c r="BD46" s="96">
        <f t="shared" si="181"/>
        <v>126.06</v>
      </c>
      <c r="BE46" s="95">
        <v>0.97569608354351034</v>
      </c>
      <c r="BF46" s="95">
        <v>1.0199429606771673</v>
      </c>
      <c r="BG46" s="95">
        <v>1.0869513520115845</v>
      </c>
      <c r="BH46" s="96">
        <f t="shared" si="182"/>
        <v>214.28</v>
      </c>
      <c r="BJ46" s="182"/>
      <c r="BK46" s="84">
        <f t="shared" si="265"/>
        <v>84.899564400000003</v>
      </c>
      <c r="BL46" s="85">
        <f t="shared" si="265"/>
        <v>120.804193</v>
      </c>
      <c r="BM46" s="85">
        <f t="shared" si="265"/>
        <v>1.8493599999999999</v>
      </c>
      <c r="BN46" s="103">
        <v>84.899564400000003</v>
      </c>
      <c r="BO46" s="104">
        <v>120.804193</v>
      </c>
      <c r="BP46" s="106">
        <v>1.8493599999999999</v>
      </c>
      <c r="BQ46" s="103">
        <v>701.36440300000004</v>
      </c>
      <c r="BR46" s="104">
        <f>BO46</f>
        <v>120.804193</v>
      </c>
      <c r="BS46" s="106">
        <f>+BP46</f>
        <v>1.8493599999999999</v>
      </c>
      <c r="BT46" s="103">
        <v>139.9444</v>
      </c>
      <c r="BU46" s="104">
        <v>91.278090199999994</v>
      </c>
      <c r="BV46" s="106">
        <v>1.88247875</v>
      </c>
      <c r="BW46" s="103">
        <f>BQ46</f>
        <v>701.36440300000004</v>
      </c>
      <c r="BX46" s="104">
        <f>BU46</f>
        <v>91.278090199999994</v>
      </c>
      <c r="BY46" s="106">
        <f>+BV46</f>
        <v>1.88247875</v>
      </c>
      <c r="BZ46" s="131">
        <f t="shared" si="202"/>
        <v>0</v>
      </c>
      <c r="CA46" s="132">
        <f t="shared" si="202"/>
        <v>-6.2568660099999999E-7</v>
      </c>
      <c r="CB46" s="132">
        <f t="shared" si="202"/>
        <v>1.3273657E-4</v>
      </c>
      <c r="CC46" s="132">
        <f t="shared" si="202"/>
        <v>-2.0392195799999999E-2</v>
      </c>
      <c r="CD46" s="132">
        <f t="shared" si="202"/>
        <v>-7.8284720200000004</v>
      </c>
      <c r="CE46" s="133">
        <f t="shared" si="202"/>
        <v>1226.07638</v>
      </c>
      <c r="CF46" s="131">
        <f t="shared" si="202"/>
        <v>0</v>
      </c>
      <c r="CG46" s="132">
        <f t="shared" si="202"/>
        <v>-1.1536069E-7</v>
      </c>
      <c r="CH46" s="132">
        <f t="shared" si="202"/>
        <v>1.3455171599999999E-4</v>
      </c>
      <c r="CI46" s="132">
        <f t="shared" si="202"/>
        <v>2.8650708099999998E-2</v>
      </c>
      <c r="CJ46" s="132">
        <f t="shared" si="202"/>
        <v>41.077558199999999</v>
      </c>
      <c r="CK46" s="131">
        <f t="shared" si="202"/>
        <v>-8.6675285099999997E-5</v>
      </c>
      <c r="CL46" s="132">
        <f t="shared" si="202"/>
        <v>-0.24323050600000001</v>
      </c>
      <c r="CM46" s="133">
        <f t="shared" si="202"/>
        <v>1518.0813900000001</v>
      </c>
      <c r="CN46" s="358"/>
      <c r="CO46" s="117">
        <v>3.1363691999999998E-6</v>
      </c>
      <c r="CP46" s="117">
        <v>-5.5614488499999999E-4</v>
      </c>
      <c r="CQ46" s="117">
        <v>1.9392068200000001E-2</v>
      </c>
      <c r="CR46" s="117">
        <v>-9.0394128400000007</v>
      </c>
      <c r="CS46" s="118">
        <v>1023.41928</v>
      </c>
      <c r="CT46" s="358"/>
      <c r="CU46" s="119">
        <v>-1.078692E-7</v>
      </c>
      <c r="CV46" s="117">
        <v>1.2776728999999999E-4</v>
      </c>
      <c r="CW46" s="117">
        <v>1.78721212E-2</v>
      </c>
      <c r="CX46" s="118">
        <v>37.875518200000002</v>
      </c>
      <c r="CY46" s="113">
        <v>-1.3204263899999999E-4</v>
      </c>
      <c r="CZ46" s="113">
        <v>-2.8488146299999999E-2</v>
      </c>
      <c r="DA46" s="423">
        <v>1249.4340299999999</v>
      </c>
      <c r="DB46" s="358"/>
      <c r="DC46" s="117">
        <v>-3.4852143999999998E-6</v>
      </c>
      <c r="DD46" s="117">
        <v>8.6344381299999998E-4</v>
      </c>
      <c r="DE46" s="117">
        <v>-7.6740902299999997E-2</v>
      </c>
      <c r="DF46" s="117">
        <v>-5.5197548799999998</v>
      </c>
      <c r="DG46" s="118">
        <v>1489.1150700000001</v>
      </c>
      <c r="DH46" s="358"/>
      <c r="DI46" s="119">
        <v>8.0410501499999996E-8</v>
      </c>
      <c r="DJ46" s="117">
        <v>-1.51368748E-4</v>
      </c>
      <c r="DK46" s="117">
        <v>0.175379436</v>
      </c>
      <c r="DL46" s="169">
        <v>55.435099899999997</v>
      </c>
      <c r="DM46" s="113">
        <v>-4.5148157200000001E-5</v>
      </c>
      <c r="DN46" s="113">
        <v>-7.1906305300000001E-2</v>
      </c>
      <c r="DO46" s="423">
        <v>1830.7117900000001</v>
      </c>
      <c r="DP46" s="424"/>
      <c r="DQ46" s="117">
        <v>-6.2568660099999999E-7</v>
      </c>
      <c r="DR46" s="117">
        <v>1.3273657E-4</v>
      </c>
      <c r="DS46" s="117">
        <v>-2.0392195799999999E-2</v>
      </c>
      <c r="DT46" s="117">
        <v>-7.8284720200000004</v>
      </c>
      <c r="DU46" s="118">
        <v>1226.07638</v>
      </c>
      <c r="DV46" s="377"/>
      <c r="DW46" s="127">
        <v>-1.1536069E-7</v>
      </c>
      <c r="DX46" s="123">
        <v>1.3455171599999999E-4</v>
      </c>
      <c r="DY46" s="123">
        <v>2.8650708099999998E-2</v>
      </c>
      <c r="DZ46" s="124">
        <v>41.077558199999999</v>
      </c>
      <c r="EA46" s="117">
        <v>-8.6675285099999997E-5</v>
      </c>
      <c r="EB46" s="117">
        <v>-0.24323050600000001</v>
      </c>
      <c r="EC46" s="425">
        <v>1518.0813900000001</v>
      </c>
      <c r="ED46" s="435">
        <f t="shared" ref="ED46:EI46" si="266">ED45</f>
        <v>4.28774956E-8</v>
      </c>
      <c r="EE46" s="117">
        <f t="shared" si="266"/>
        <v>-2.2345693300000001E-5</v>
      </c>
      <c r="EF46" s="117">
        <f t="shared" si="266"/>
        <v>3.8278670700000001E-3</v>
      </c>
      <c r="EG46" s="117">
        <f t="shared" si="266"/>
        <v>-0.25513376599999998</v>
      </c>
      <c r="EH46" s="117">
        <f t="shared" si="266"/>
        <v>0.58914216799999997</v>
      </c>
      <c r="EI46" s="117">
        <f t="shared" si="266"/>
        <v>1676.24395</v>
      </c>
      <c r="EJ46" s="119">
        <f t="shared" ref="EJ46:EQ46" si="267">EJ45</f>
        <v>3.4997888500000001E-11</v>
      </c>
      <c r="EK46" s="117">
        <f t="shared" si="267"/>
        <v>-1.8439778999999999E-7</v>
      </c>
      <c r="EL46" s="117">
        <f t="shared" si="267"/>
        <v>2.7476176099999999E-4</v>
      </c>
      <c r="EM46" s="117">
        <f t="shared" si="267"/>
        <v>-4.9968045900000001E-2</v>
      </c>
      <c r="EN46" s="118">
        <f t="shared" si="267"/>
        <v>81.759720099999996</v>
      </c>
      <c r="EO46" s="396">
        <f t="shared" si="267"/>
        <v>-2.5339345699999999E-4</v>
      </c>
      <c r="EP46" s="396">
        <f t="shared" si="267"/>
        <v>0.22410923099999999</v>
      </c>
      <c r="EQ46" s="431">
        <f t="shared" si="267"/>
        <v>1888.7802200000001</v>
      </c>
      <c r="ER46" s="137">
        <v>60.5</v>
      </c>
      <c r="ES46" s="368"/>
      <c r="ET46" s="137">
        <v>60.5</v>
      </c>
      <c r="EU46" s="368"/>
      <c r="EV46" s="137">
        <f>EX46</f>
        <v>61.5</v>
      </c>
      <c r="EW46" s="368"/>
      <c r="EX46" s="137">
        <v>61.5</v>
      </c>
      <c r="EY46" s="368"/>
      <c r="EZ46" s="137">
        <f t="shared" si="203"/>
        <v>17.5</v>
      </c>
      <c r="FA46" s="143">
        <f>Tavg_cold</f>
        <v>17</v>
      </c>
      <c r="FB46" s="144">
        <f t="shared" si="204"/>
        <v>17.5</v>
      </c>
      <c r="FC46" s="143">
        <f t="shared" si="205"/>
        <v>17.5</v>
      </c>
      <c r="FD46" s="144">
        <f t="shared" si="206"/>
        <v>17.5</v>
      </c>
      <c r="FE46" s="145">
        <f t="shared" si="251"/>
        <v>18.2</v>
      </c>
      <c r="FF46" s="497">
        <f t="shared" si="207"/>
        <v>17.5</v>
      </c>
      <c r="FG46" s="497">
        <f>FH46*1.05</f>
        <v>18.375</v>
      </c>
      <c r="FH46" s="497">
        <f t="shared" si="208"/>
        <v>17.5</v>
      </c>
      <c r="FJ46" s="344">
        <f t="shared" si="209"/>
        <v>0.5</v>
      </c>
      <c r="FK46" s="241">
        <f t="shared" si="210"/>
        <v>1.175</v>
      </c>
      <c r="FL46" s="495">
        <f t="shared" si="211"/>
        <v>1.4700000000000002</v>
      </c>
      <c r="FM46" s="230">
        <f t="shared" si="252"/>
        <v>0.73144268768278031</v>
      </c>
      <c r="FN46" s="226">
        <f>DU46</f>
        <v>1226.07638</v>
      </c>
      <c r="FO46" s="226">
        <f>EI46</f>
        <v>1676.24395</v>
      </c>
      <c r="FP46" s="222">
        <f>FN46/FO46</f>
        <v>0.73144268768278031</v>
      </c>
      <c r="FQ46" s="238">
        <f t="shared" si="212"/>
        <v>1226.07638</v>
      </c>
      <c r="FR46" s="241">
        <f t="shared" si="213"/>
        <v>0</v>
      </c>
      <c r="FS46" s="242">
        <f t="shared" si="253"/>
        <v>450.16757000000001</v>
      </c>
      <c r="FT46" s="248">
        <f t="shared" si="254"/>
        <v>0</v>
      </c>
      <c r="FU46" s="224">
        <f t="shared" si="258"/>
        <v>17.5</v>
      </c>
      <c r="FV46" s="219">
        <f t="shared" si="214"/>
        <v>21.150000000000002</v>
      </c>
      <c r="FW46" s="224">
        <f t="shared" si="259"/>
        <v>3.6500000000000021</v>
      </c>
      <c r="FX46" s="224">
        <f t="shared" si="215"/>
        <v>23.520000000000003</v>
      </c>
      <c r="FY46" s="224">
        <f t="shared" si="260"/>
        <v>6.0200000000000031</v>
      </c>
      <c r="FZ46" s="224">
        <f t="shared" si="261"/>
        <v>17.5</v>
      </c>
      <c r="GA46" s="500">
        <f t="shared" si="216"/>
        <v>17.5</v>
      </c>
      <c r="GC46" s="161">
        <f t="shared" si="217"/>
        <v>15.69066559142683</v>
      </c>
      <c r="GE46" s="259">
        <f t="shared" si="218"/>
        <v>0</v>
      </c>
      <c r="GG46" s="305">
        <f t="shared" si="219"/>
        <v>2334.1781978570243</v>
      </c>
      <c r="GH46" s="305">
        <f t="shared" si="220"/>
        <v>12771.02035942329</v>
      </c>
      <c r="GI46" s="305">
        <f t="shared" si="221"/>
        <v>1167.0890989285122</v>
      </c>
      <c r="GJ46" s="305">
        <f t="shared" si="222"/>
        <v>1167.0890989285119</v>
      </c>
      <c r="GK46" s="305">
        <f t="shared" si="223"/>
        <v>7.2478490515896785E-3</v>
      </c>
      <c r="GL46" s="305">
        <f t="shared" si="15"/>
        <v>7.2478490515896785E-3</v>
      </c>
      <c r="GM46" s="305">
        <f t="shared" si="224"/>
        <v>38.490692183503647</v>
      </c>
      <c r="GN46" s="305">
        <f t="shared" si="225"/>
        <v>69.839015794949589</v>
      </c>
      <c r="GO46" s="306">
        <f t="shared" si="16"/>
        <v>9.1385736306289544E-2</v>
      </c>
      <c r="GQ46" s="305">
        <f t="shared" si="226"/>
        <v>3557.0118570174286</v>
      </c>
      <c r="GR46" s="305">
        <f t="shared" si="227"/>
        <v>2461.291043351021</v>
      </c>
      <c r="GS46" s="305">
        <f t="shared" si="228"/>
        <v>1778.5059285087143</v>
      </c>
      <c r="GT46" s="305">
        <f t="shared" si="229"/>
        <v>1778.5059285087143</v>
      </c>
      <c r="GU46" s="305">
        <f t="shared" si="230"/>
        <v>1778.5059285087143</v>
      </c>
      <c r="GV46" s="307">
        <f t="shared" si="231"/>
        <v>1.1112703645172665E-2</v>
      </c>
      <c r="GW46" s="307">
        <f t="shared" si="232"/>
        <v>1.1112703645172665E-2</v>
      </c>
      <c r="GX46" s="305">
        <f t="shared" si="233"/>
        <v>1.1112703645172665E-2</v>
      </c>
      <c r="GY46" s="305">
        <f t="shared" si="234"/>
        <v>55.477839519976428</v>
      </c>
      <c r="GZ46" s="305">
        <f t="shared" si="235"/>
        <v>55.477839519976428</v>
      </c>
      <c r="HA46" s="305">
        <f t="shared" si="236"/>
        <v>49.180250840182332</v>
      </c>
      <c r="HB46" s="305">
        <f t="shared" si="17"/>
        <v>19.415087041495514</v>
      </c>
      <c r="HC46" s="305">
        <f t="shared" si="18"/>
        <v>19.415087041495514</v>
      </c>
      <c r="HD46" s="529">
        <f t="shared" si="237"/>
        <v>2532.5570501771672</v>
      </c>
      <c r="HE46" s="57">
        <f t="shared" si="7"/>
        <v>1226.07638</v>
      </c>
      <c r="HF46" s="57">
        <f t="shared" si="238"/>
        <v>2532.5570501771672</v>
      </c>
      <c r="HG46" s="525">
        <f t="shared" si="9"/>
        <v>17.5</v>
      </c>
      <c r="HH46" s="57">
        <f t="shared" si="10"/>
        <v>17.5</v>
      </c>
      <c r="HI46" s="503">
        <f t="shared" si="75"/>
        <v>2532.5570501771672</v>
      </c>
      <c r="HJ46" s="2">
        <f t="shared" si="90"/>
        <v>1</v>
      </c>
      <c r="HK46" s="503">
        <f t="shared" si="76"/>
        <v>2532.5570501771672</v>
      </c>
      <c r="HL46" s="344">
        <f t="shared" si="239"/>
        <v>0.5</v>
      </c>
      <c r="HM46" s="241">
        <f t="shared" si="240"/>
        <v>1.175</v>
      </c>
      <c r="HN46" s="495">
        <f t="shared" si="241"/>
        <v>1.4700000000000002</v>
      </c>
      <c r="HO46" s="230">
        <f t="shared" si="255"/>
        <v>0.73144268768278031</v>
      </c>
      <c r="HP46" s="226">
        <f t="shared" si="242"/>
        <v>1226.07638</v>
      </c>
      <c r="HQ46" s="226">
        <f t="shared" si="80"/>
        <v>1676.24395</v>
      </c>
      <c r="HR46" s="222">
        <f>HP46/HQ46</f>
        <v>0.73144268768278031</v>
      </c>
      <c r="HS46" s="251">
        <f t="shared" si="11"/>
        <v>1226.07638</v>
      </c>
      <c r="HT46" s="241">
        <f t="shared" si="243"/>
        <v>0</v>
      </c>
      <c r="HU46" s="242">
        <f t="shared" si="256"/>
        <v>450.16757000000001</v>
      </c>
      <c r="HV46" s="248">
        <f t="shared" si="257"/>
        <v>0</v>
      </c>
      <c r="HW46" s="224">
        <f t="shared" si="12"/>
        <v>17.5</v>
      </c>
      <c r="HX46" s="219">
        <f t="shared" si="244"/>
        <v>21.150000000000002</v>
      </c>
      <c r="HY46" s="224">
        <f t="shared" si="262"/>
        <v>3.6500000000000021</v>
      </c>
      <c r="HZ46" s="224">
        <f t="shared" si="245"/>
        <v>23.520000000000003</v>
      </c>
      <c r="IA46" s="224">
        <f t="shared" si="263"/>
        <v>6.0200000000000031</v>
      </c>
      <c r="IB46" s="224">
        <f t="shared" si="264"/>
        <v>17.5</v>
      </c>
      <c r="IC46" s="500">
        <f t="shared" si="246"/>
        <v>17.5</v>
      </c>
      <c r="IE46" s="161">
        <f t="shared" si="247"/>
        <v>15.69066559142683</v>
      </c>
      <c r="IG46" s="259">
        <f t="shared" si="248"/>
        <v>6.1648013234821483E-2</v>
      </c>
      <c r="II46" s="305">
        <f t="shared" si="249"/>
        <v>2334.1781978570243</v>
      </c>
      <c r="IJ46" s="305">
        <f t="shared" si="250"/>
        <v>12771.02035942329</v>
      </c>
    </row>
    <row r="47" spans="2:244" ht="15" customHeight="1" x14ac:dyDescent="0.25">
      <c r="B47" s="589" t="str">
        <f>IF(LangNo=1,NL!A47,IF(LangNo=2,EN!A47,IF(LangNo=3,DE!A47,IF(LangNo=4,FR!A47,IF(LangNo=5,NR!A47,IF(LangNo=6,SP!A47,IF(LangNo=7,SW!A47,IF(LangNo=8,TS!A47,IF(LangNo=9,ExtraTaal1!A47,IF(LangNo=10,ExtraTaal2!A47,IF(LangNo=11,ExtraTaal3!A47,)))))))))))</f>
        <v>Briza 22 (230V) height 54,5 cm, width 22 cm, length 155 cm (Type 08)</v>
      </c>
      <c r="C47" s="590"/>
      <c r="D47" s="590"/>
      <c r="E47" s="590"/>
      <c r="F47" s="590"/>
      <c r="G47" s="590"/>
      <c r="H47" s="590"/>
      <c r="I47" s="590"/>
      <c r="J47" s="590"/>
      <c r="K47" s="590"/>
      <c r="L47" s="590"/>
      <c r="M47" s="590"/>
      <c r="N47" s="590"/>
      <c r="O47" s="590"/>
      <c r="P47" s="590"/>
      <c r="Q47" s="590"/>
      <c r="R47" s="590"/>
      <c r="S47" s="590"/>
      <c r="T47" s="590"/>
      <c r="U47" s="590"/>
      <c r="V47" s="591"/>
      <c r="W47" s="513"/>
      <c r="X47" s="56"/>
      <c r="Y47" s="56"/>
      <c r="Z47" s="56"/>
      <c r="AA47" s="56">
        <f t="shared" si="13"/>
        <v>0</v>
      </c>
      <c r="AB47" s="56" t="str">
        <f t="shared" si="14"/>
        <v>m³/h</v>
      </c>
      <c r="AC47" s="94" t="s">
        <v>9</v>
      </c>
      <c r="AD47" s="94" t="s">
        <v>9</v>
      </c>
      <c r="AE47" s="94" t="s">
        <v>9</v>
      </c>
      <c r="AF47" s="95" t="s">
        <v>70</v>
      </c>
      <c r="AG47" s="94" t="s">
        <v>9</v>
      </c>
      <c r="AH47" s="94" t="s">
        <v>9</v>
      </c>
      <c r="AI47" s="94" t="s">
        <v>9</v>
      </c>
      <c r="AJ47" s="485" t="s">
        <v>70</v>
      </c>
      <c r="AK47" s="485" t="s">
        <v>9</v>
      </c>
      <c r="AL47" s="485" t="s">
        <v>9</v>
      </c>
      <c r="AM47" s="485" t="s">
        <v>9</v>
      </c>
      <c r="AN47" s="485" t="s">
        <v>70</v>
      </c>
      <c r="AO47" s="485" t="s">
        <v>9</v>
      </c>
      <c r="AP47" s="485" t="s">
        <v>9</v>
      </c>
      <c r="AQ47" s="485" t="s">
        <v>9</v>
      </c>
      <c r="AR47" s="487" t="s">
        <v>70</v>
      </c>
      <c r="AS47" s="485" t="s">
        <v>9</v>
      </c>
      <c r="AT47" s="485" t="s">
        <v>9</v>
      </c>
      <c r="AU47" s="485" t="s">
        <v>9</v>
      </c>
      <c r="AV47" s="486" t="str">
        <f t="shared" si="179"/>
        <v>m³/h</v>
      </c>
      <c r="AW47" s="485" t="s">
        <v>9</v>
      </c>
      <c r="AX47" s="485" t="s">
        <v>9</v>
      </c>
      <c r="AY47" s="485" t="s">
        <v>9</v>
      </c>
      <c r="AZ47" s="486" t="str">
        <f t="shared" si="180"/>
        <v>m³/h</v>
      </c>
      <c r="BA47" s="94" t="s">
        <v>9</v>
      </c>
      <c r="BB47" s="94" t="s">
        <v>9</v>
      </c>
      <c r="BC47" s="94" t="s">
        <v>9</v>
      </c>
      <c r="BD47" s="96" t="str">
        <f t="shared" si="181"/>
        <v>m³/h</v>
      </c>
      <c r="BE47" s="94" t="s">
        <v>9</v>
      </c>
      <c r="BF47" s="94" t="s">
        <v>9</v>
      </c>
      <c r="BG47" s="94" t="s">
        <v>9</v>
      </c>
      <c r="BH47" s="96" t="str">
        <f t="shared" si="182"/>
        <v>m³/h</v>
      </c>
      <c r="BJ47" s="182">
        <f>IF($BK$17="11",BO47,IF($BK$17="21",BR47,IF($BK$17="12",BO47,IF($BK$17="22",BR47,IF($BK$17="13",BO47,IF($BK$17="23",BR47,IF($BK$17="14",BO47,IF($BK$17="24",BR47,IF($BK$17="31",BU47,IF($BK$17="41",BX47,IF($BK$17="32",BU47,IF($BK$17="42",BX47,IF($BK$17="33",BU47,IF($BK$17="43",BX47,IF($BK$17="34",BU47,IF($BK$17="44",BX47,))))))))))))))))</f>
        <v>22</v>
      </c>
      <c r="BK47" s="255">
        <f>(BN47+IF(CaseNo=1,0,IF(CaseNo=2,$BN$2,)))*MilInch</f>
        <v>54.5</v>
      </c>
      <c r="BL47" s="255">
        <f>(BJ47+IF(CaseNo=1,0,IF(CaseNo=2,$BN$3,)))*MilInch</f>
        <v>22</v>
      </c>
      <c r="BM47" s="255">
        <f>(BP47+IF(CaseNo=1,0,IF(CaseNo=2,$BN$4,)))*MilInch</f>
        <v>125</v>
      </c>
      <c r="BN47" s="255">
        <v>54.5</v>
      </c>
      <c r="BO47" s="255">
        <v>22</v>
      </c>
      <c r="BP47" s="255">
        <v>125</v>
      </c>
      <c r="BQ47" s="255">
        <v>54.5</v>
      </c>
      <c r="BR47" s="255">
        <v>22</v>
      </c>
      <c r="BS47" s="255">
        <v>125</v>
      </c>
      <c r="BT47" s="255">
        <v>54.5</v>
      </c>
      <c r="BU47" s="255">
        <v>26</v>
      </c>
      <c r="BV47" s="255">
        <v>125</v>
      </c>
      <c r="BW47" s="255">
        <v>54.5</v>
      </c>
      <c r="BX47" s="255">
        <v>26</v>
      </c>
      <c r="BY47" s="255">
        <v>125</v>
      </c>
      <c r="BZ47" s="605" t="str">
        <f>CF47</f>
        <v>T08</v>
      </c>
      <c r="CA47" s="606"/>
      <c r="CB47" s="606"/>
      <c r="CC47" s="606"/>
      <c r="CD47" s="606"/>
      <c r="CE47" s="606"/>
      <c r="CF47" s="607" t="s">
        <v>52</v>
      </c>
      <c r="CG47" s="608"/>
      <c r="CH47" s="608"/>
      <c r="CI47" s="608"/>
      <c r="CJ47" s="608"/>
      <c r="CK47" s="607"/>
      <c r="CL47" s="608"/>
      <c r="CM47" s="609"/>
      <c r="CN47" s="601" t="str">
        <f>CF47</f>
        <v>T08</v>
      </c>
      <c r="CO47" s="596"/>
      <c r="CP47" s="596"/>
      <c r="CQ47" s="596"/>
      <c r="CR47" s="596"/>
      <c r="CS47" s="596"/>
      <c r="CT47" s="596"/>
      <c r="CU47" s="596"/>
      <c r="CV47" s="596"/>
      <c r="CW47" s="596"/>
      <c r="CX47" s="596"/>
      <c r="CY47" s="596"/>
      <c r="CZ47" s="596"/>
      <c r="DA47" s="597"/>
      <c r="DB47" s="601" t="str">
        <f>CF47</f>
        <v>T08</v>
      </c>
      <c r="DC47" s="596"/>
      <c r="DD47" s="596"/>
      <c r="DE47" s="596"/>
      <c r="DF47" s="596"/>
      <c r="DG47" s="596"/>
      <c r="DH47" s="596"/>
      <c r="DI47" s="596"/>
      <c r="DJ47" s="596"/>
      <c r="DK47" s="596"/>
      <c r="DL47" s="596"/>
      <c r="DM47" s="596"/>
      <c r="DN47" s="596"/>
      <c r="DO47" s="597"/>
      <c r="DP47" s="595" t="str">
        <f>CF47</f>
        <v>T08</v>
      </c>
      <c r="DQ47" s="596"/>
      <c r="DR47" s="596"/>
      <c r="DS47" s="596"/>
      <c r="DT47" s="596"/>
      <c r="DU47" s="596"/>
      <c r="DV47" s="596"/>
      <c r="DW47" s="596"/>
      <c r="DX47" s="596"/>
      <c r="DY47" s="596"/>
      <c r="DZ47" s="596"/>
      <c r="EA47" s="596"/>
      <c r="EB47" s="596"/>
      <c r="EC47" s="597"/>
      <c r="ED47" s="596" t="str">
        <f>CF47</f>
        <v>T08</v>
      </c>
      <c r="EE47" s="596"/>
      <c r="EF47" s="596"/>
      <c r="EG47" s="596"/>
      <c r="EH47" s="596"/>
      <c r="EI47" s="596"/>
      <c r="EJ47" s="596"/>
      <c r="EK47" s="596"/>
      <c r="EL47" s="596"/>
      <c r="EM47" s="596"/>
      <c r="EN47" s="596"/>
      <c r="EO47" s="596"/>
      <c r="EP47" s="596"/>
      <c r="EQ47" s="596"/>
      <c r="ER47" s="624" t="s">
        <v>52</v>
      </c>
      <c r="ES47" s="606"/>
      <c r="ET47" s="606"/>
      <c r="EU47" s="606"/>
      <c r="EV47" s="606"/>
      <c r="EW47" s="606"/>
      <c r="EX47" s="606"/>
      <c r="EY47" s="606"/>
      <c r="EZ47" s="625"/>
      <c r="FA47" s="601" t="str">
        <f>ER47</f>
        <v>T08</v>
      </c>
      <c r="FB47" s="596"/>
      <c r="FC47" s="596"/>
      <c r="FD47" s="600"/>
      <c r="FE47" s="171"/>
      <c r="FF47" s="498"/>
      <c r="FG47" s="680"/>
      <c r="FH47" s="681"/>
      <c r="FJ47" s="344"/>
      <c r="FK47" s="241"/>
      <c r="FL47" s="495"/>
      <c r="FM47" s="218"/>
      <c r="FN47" s="226"/>
      <c r="FO47" s="226"/>
      <c r="FP47" s="222"/>
      <c r="FQ47" s="238"/>
      <c r="FR47" s="239"/>
      <c r="FS47" s="242"/>
      <c r="FT47" s="248"/>
      <c r="FU47" s="224"/>
      <c r="FV47" s="219"/>
      <c r="FW47" s="224"/>
      <c r="FX47" s="224"/>
      <c r="FY47" s="224"/>
      <c r="FZ47" s="224"/>
      <c r="GA47" s="500"/>
      <c r="GC47" s="161"/>
      <c r="GE47" s="259"/>
      <c r="GG47" s="305"/>
      <c r="GH47" s="305"/>
      <c r="GI47" s="305"/>
      <c r="GJ47" s="305"/>
      <c r="GK47" s="305"/>
      <c r="GL47" s="305"/>
      <c r="GM47" s="305"/>
      <c r="GN47" s="305"/>
      <c r="GO47" s="306"/>
      <c r="GQ47" s="305"/>
      <c r="GR47" s="305"/>
      <c r="GS47" s="305"/>
      <c r="GT47" s="305"/>
      <c r="GU47" s="305"/>
      <c r="GV47" s="307"/>
      <c r="GW47" s="307"/>
      <c r="GX47" s="305"/>
      <c r="GY47" s="305"/>
      <c r="GZ47" s="305"/>
      <c r="HA47" s="305"/>
      <c r="HB47" s="305"/>
      <c r="HC47" s="305"/>
      <c r="HD47" s="529">
        <f t="shared" si="103"/>
        <v>0</v>
      </c>
      <c r="HE47" s="57" t="e">
        <f t="shared" si="7"/>
        <v>#VALUE!</v>
      </c>
      <c r="HF47" s="57" t="e">
        <f>IF(Geg_dP&lt;$AB47,((($BL$18*($HE47/Cubics)^4+$BL$19*($HE47/Cubics)^3+$BL$20*($HE47/Cubics)^2+$BL$21*($HE47/Cubics)^1+$BL$22)*((CF_Regime_Cool_noExp)^$Y47)))*CF_Addit*Watts*CF_Altit,Lim_dP)</f>
        <v>#VALUE!</v>
      </c>
      <c r="HG47" s="525" t="e">
        <f t="shared" si="9"/>
        <v>#VALUE!</v>
      </c>
      <c r="HH47" s="57" t="e">
        <f t="shared" si="10"/>
        <v>#VALUE!</v>
      </c>
      <c r="HI47" s="503" t="e">
        <f t="shared" si="75"/>
        <v>#VALUE!</v>
      </c>
      <c r="HJ47" s="2" t="e">
        <f t="shared" si="90"/>
        <v>#VALUE!</v>
      </c>
      <c r="HK47" s="503" t="e">
        <f t="shared" si="76"/>
        <v>#VALUE!</v>
      </c>
      <c r="HL47" s="682" t="s">
        <v>52</v>
      </c>
      <c r="HM47" s="683"/>
      <c r="HN47" s="683"/>
      <c r="HO47" s="683"/>
      <c r="HP47" s="683"/>
      <c r="HQ47" s="683"/>
      <c r="HR47" s="683"/>
      <c r="HS47" s="683"/>
      <c r="HT47" s="683"/>
      <c r="HU47" s="683"/>
      <c r="HV47" s="683"/>
      <c r="HW47" s="683"/>
      <c r="HX47" s="683"/>
      <c r="HY47" s="683"/>
      <c r="HZ47" s="683"/>
      <c r="IA47" s="683"/>
      <c r="IB47" s="683"/>
      <c r="IC47" s="683"/>
      <c r="IE47" s="161"/>
      <c r="IG47" s="259"/>
      <c r="II47" s="305"/>
      <c r="IJ47" s="305"/>
    </row>
    <row r="48" spans="2:244" ht="15" customHeight="1" x14ac:dyDescent="0.25">
      <c r="B48" s="195">
        <f>IF($AL$5=1,$C48/10,IF($AL$5=2,$C48/10,IF($AL$5=3,0,IF($AL$5=4,$C48/10,))))</f>
        <v>0.2</v>
      </c>
      <c r="C48" s="336">
        <v>2</v>
      </c>
      <c r="D48" s="329">
        <f>IF(Geg_dP&lt;AB48,(($BK$48*($N48/Cubics)^4+$BK$49*($N48/Cubics)^3+$BK$51*($N48/Cubics)^2+$BK$53*($N48/Cubics)^1+$BK$54)*(CF_Regime_Heat_noExp^$AA48))*CF_Addit*Watts*CF_Altit,Lim_dP)</f>
        <v>4329.2663192781019</v>
      </c>
      <c r="E48" s="30">
        <f t="shared" ref="E48:E54" si="268">IF(Geg_dP&lt;$AB48,ROUND((($D48/Watts)/((Tv_heat-Tr_heat)*1.163))*FlowH2O,IF(UnitsNo=1,0,IF(UnitsNo=2,2))),"")</f>
        <v>372</v>
      </c>
      <c r="F48" s="330">
        <f t="shared" ref="F48:F54" si="269">IF(Geg_dP&lt;$AB48,IF((($BM$48*(E48/FlowH2O)^$BM$49))*kPa&gt;0,(($BM$48*(E48/FlowH2O)^$BM$49))*kPa,0),"")</f>
        <v>1.2702460699469025</v>
      </c>
      <c r="G48" s="329">
        <f t="shared" ref="G48:G54" si="270">IF(Geg_dP&lt;$AB48,((($BL$48*($N48/Cubics)^4+$BL$49*($N48/Cubics)^3+$BL$51*($N48/Cubics)^2+$BL$53*($N48/Cubics)^1+$BL$54)*((CF_Regime_Cool_noExp)^$Y48)))*CF_Addit*Watts*CF_Altit,Lim_dP)</f>
        <v>851.08654939233088</v>
      </c>
      <c r="H48" s="32">
        <f t="shared" ref="H48:H54" si="271">IF(Geg_dP&lt;$AB48,((G48/Watts)/(IF((237.3*LN((RH*EXP(17.27*(Tl_cool/(Tl_cool+237.3))))))/(17.27-LN((RH*EXP(17.27*(Tl_cool/(Tl_cool+237.3))))))&lt;EZ48,1,IF(1/(1+((2258*((0.622/((101325/(1*611*EXP(17.27*(EZ48/(EZ48+237.3))))))-1)*1000-(0.622/((101325/(RH*611*EXP(17.27*(Tl_cool/(Tl_cool+237.3))))))-1)*1000))/(1005*(Tavg_cold-Tl_cool))))&gt;1,1,1/(1+((2258*((0.622/((101325/(1*611*EXP(17.27*(EZ48/(EZ48+237.3))))))-1)*1000-(0.622/((101325/(RH*611*EXP(17.27*(Tl_cool/(Tl_cool+237.3))))))-1)*1000))/(1005*(Tavg_cold-Tl_cool))))))))*Watts,"")</f>
        <v>851.08654939233088</v>
      </c>
      <c r="I48" s="30">
        <f>IF(Geg_dP&lt;AB48,ROUND(((IF('Briza 22 &amp; 26'!$M$4="High Perform. 208/230V (US/EU)",cal!HK48,H48)/Watts)/((Tr_cool-Tv_cool)*1.163))*FlowH2O,IF(UnitsNo=1,0,IF(UnitsNo=2,2))),"")</f>
        <v>366</v>
      </c>
      <c r="J48" s="330">
        <f t="shared" ref="J48:J54" si="272">IF(Geg_dP&lt;$AB48,IF((($BM$53*(I48/FlowH2O)^$BM$54))*kPa&gt;0,(($BM$53*(I48/FlowH2O)^$BM$54))*kPa,0),"")</f>
        <v>1.2249426971189705</v>
      </c>
      <c r="K48" s="333">
        <f t="shared" ref="K48:K54" si="273">IF(Geg_dP&lt;AB48,IF($L48-8&lt;0,0,$L48-8),"")</f>
        <v>25</v>
      </c>
      <c r="L48" s="297">
        <f>IF(Geg_dP&lt;$AB48,IF(CalcNo="12",$ET48,IF(CalcNo="22",$ET48,IF(CalcNo="13",$EU48,IF(CalcNo="23",$EU48,IF(CalcNo="11",$ER48,IF(CalcNo="21",$ER48,IF(CalcNo="14",$ES48,IF(CalcNo="24",$ES48,IF(CalcNo="32",$EX48,IF(CalcNo="42",$EX48,IF(CalcNo="33",$EY48,IF(CalcNo="43",$EY48,IF(CalcNo="31",$EV48,IF(CalcNo="41",$EV48,IF(CalcNo="34",$EW48,IF(CalcNo="44",$EW48,)))))))))))))))),"")</f>
        <v>33</v>
      </c>
      <c r="M48" s="198">
        <f t="shared" ref="M48:M53" si="274">IF(Geg_dP&lt;$AB48,($CF48*(($N48/Cubics)^4))+($CG48*(($N48/Cubics)^3))+($CH48*(($N48/Cubics)^2))+($CI48*($N48/Cubics))+$CJ48,"")</f>
        <v>7.2498678160567307</v>
      </c>
      <c r="N48" s="197">
        <f t="shared" ref="N48:N54" si="275">IF(Geg_dP&lt;$AB48,(BZ48*Geg_dP^5+CA48*Geg_dP^4+CB48*Geg_dP^3+CC48*Geg_dP^2+CD48*Geg_dP+CE48)*CF_Case*Cubics,"")</f>
        <v>392.20186899999999</v>
      </c>
      <c r="O48" s="480">
        <f t="shared" ref="O48:O54" si="276">IF(Geg_dP&lt;$AB48,(($N48/Cubics)/3600)/(($BJ$55/100)*($BP$55/100))*FeetMins,"")</f>
        <v>0.31948669680677744</v>
      </c>
      <c r="P48" s="198">
        <f t="shared" ref="P48:P54" si="277">IF(Geg_dP&lt;$AB48,((($D48/Watts)/(((p_atm*0.028964)/(8.31447*(20+273.15)))*(($N48/3600)/Cubics)*(1005+1870*((0.622)/(((p_atm)/($E$14*pvs_heat_in))-1)))))+Tl_heat)*Celc1+Celc2,"")</f>
        <v>52.401150538841463</v>
      </c>
      <c r="Q48" s="297">
        <f t="shared" ref="Q48:Q54" si="278">IF(Geg_dP&lt;$AB48,(27.8*LN(($GN48+36)/45.5))*Celc1+Celc2,"")</f>
        <v>23.900031768032814</v>
      </c>
      <c r="R48" s="509">
        <f t="shared" ref="R48:R54" si="279">IF(Geg_dP&lt;$AB48,(Tl_cool-(($G48/Watts)/(1006*$N48*kgss)))*Celc1+Celc2,"")</f>
        <v>20.55026158425467</v>
      </c>
      <c r="S48" s="36">
        <f t="shared" ref="S48:S54" si="280">IF(Geg_dP&lt;$AB48,IF((27.8*LN(($HA48+36)/45.5))*Celc1+Celc2&gt;R48,R48,(27.8*LN(($HA48+36)/45.5))*Celc1+Celc2),"")</f>
        <v>17.328073153165487</v>
      </c>
      <c r="T48" s="300">
        <f t="shared" ref="T48:T54" si="281">IF(Geg_dP&lt;$AB48,IF($H48&gt;$G48,1,IF(($GT48/$GR48)&lt;0,0,$GT48/$GR48)),"")</f>
        <v>0.73651322625381777</v>
      </c>
      <c r="U48" s="416">
        <f t="shared" ref="U48:U54" si="282">IF(Geg_dP&lt;$AB48,$CK48*($N48/Cubics)^2+$CL48*($N48/Cubics)^1+$CM48,"")</f>
        <v>430.86127160897252</v>
      </c>
      <c r="V48" s="483">
        <f t="shared" ref="V48:V54" si="283">M48/((N48/Cubics)/3.6)</f>
        <v>6.6546149319355319E-2</v>
      </c>
      <c r="W48" s="513">
        <f t="shared" ref="W48:W54" si="284">(G48/Watts)/(N48/Cubics)</f>
        <v>2.1700216563535317</v>
      </c>
      <c r="X48" s="56">
        <f t="shared" si="1"/>
        <v>0.98023000000000005</v>
      </c>
      <c r="Y48" s="56">
        <f t="shared" si="166"/>
        <v>1.2901100000000001</v>
      </c>
      <c r="Z48" s="56">
        <f t="shared" si="167"/>
        <v>1.0895999999999999</v>
      </c>
      <c r="AA48" s="56">
        <f t="shared" si="13"/>
        <v>0.98023000000000005</v>
      </c>
      <c r="AB48" s="56">
        <f t="shared" si="14"/>
        <v>9.5</v>
      </c>
      <c r="AC48" s="95">
        <v>0.98023000000000005</v>
      </c>
      <c r="AD48" s="95">
        <v>1.2901100000000001</v>
      </c>
      <c r="AE48" s="95">
        <v>1.0895999999999999</v>
      </c>
      <c r="AF48" s="96">
        <v>8</v>
      </c>
      <c r="AG48" s="95">
        <v>0.98023000000000005</v>
      </c>
      <c r="AH48" s="95">
        <v>1.2901100000000001</v>
      </c>
      <c r="AI48" s="95">
        <v>1.0895999999999999</v>
      </c>
      <c r="AJ48" s="486">
        <v>7</v>
      </c>
      <c r="AK48" s="487">
        <v>0.98023000000000005</v>
      </c>
      <c r="AL48" s="487">
        <v>1.2901100000000001</v>
      </c>
      <c r="AM48" s="487">
        <v>1.0895999999999999</v>
      </c>
      <c r="AN48" s="486">
        <v>9.5</v>
      </c>
      <c r="AO48" s="487">
        <v>1.0115144976993358</v>
      </c>
      <c r="AP48" s="487">
        <v>1.35606862651545</v>
      </c>
      <c r="AQ48" s="487">
        <v>1.0900000000000001</v>
      </c>
      <c r="AR48" s="486">
        <v>22.6</v>
      </c>
      <c r="AS48" s="487">
        <v>0.98023000000000005</v>
      </c>
      <c r="AT48" s="487">
        <v>1.2901100000000001</v>
      </c>
      <c r="AU48" s="487">
        <v>1.0895999999999999</v>
      </c>
      <c r="AV48" s="486">
        <f t="shared" si="179"/>
        <v>8</v>
      </c>
      <c r="AW48" s="487">
        <v>0.98023000000000005</v>
      </c>
      <c r="AX48" s="487">
        <v>1.2901100000000001</v>
      </c>
      <c r="AY48" s="487">
        <v>1.0895999999999999</v>
      </c>
      <c r="AZ48" s="486">
        <f t="shared" si="180"/>
        <v>7</v>
      </c>
      <c r="BA48" s="95">
        <v>0.98022771993139868</v>
      </c>
      <c r="BB48" s="95">
        <v>1.2901116929825902</v>
      </c>
      <c r="BC48" s="95">
        <v>1.091482988399473</v>
      </c>
      <c r="BD48" s="96">
        <f t="shared" si="181"/>
        <v>9.5</v>
      </c>
      <c r="BE48" s="95">
        <v>0.98349171277865222</v>
      </c>
      <c r="BF48" s="95">
        <v>0.91323972525038233</v>
      </c>
      <c r="BG48" s="95">
        <v>1.0947469812467265</v>
      </c>
      <c r="BH48" s="96">
        <f t="shared" si="182"/>
        <v>22.6</v>
      </c>
      <c r="BJ48" s="182"/>
      <c r="BK48" s="80">
        <f t="shared" ref="BK48:BM49" si="285">IF($BK$17="11",BN48,IF($BK$17="21",BQ48,IF($BK$17="12",BN48,IF($BK$17="22",BQ48,IF($BK$17="13",BN48,IF($BK$17="23",BQ48,IF($BK$17="14",BN48,IF($BK$17="24",BQ48,IF($BK$17="31",BT48,IF($BK$17="41",BW48,IF($BK$17="32",BT48,IF($BK$17="42",BW48,IF($BK$17="33",BT48,IF($BK$17="43",BW48,IF($BK$17="34",BT48,IF($BK$17="44",BW48,))))))))))))))))</f>
        <v>0</v>
      </c>
      <c r="BL48" s="81">
        <f t="shared" si="285"/>
        <v>0</v>
      </c>
      <c r="BM48" s="87">
        <f t="shared" si="285"/>
        <v>2.3056099999999999E-6</v>
      </c>
      <c r="BN48" s="97"/>
      <c r="BO48" s="97"/>
      <c r="BP48" s="105">
        <f>BP53</f>
        <v>2.3056099999999999E-6</v>
      </c>
      <c r="BQ48" s="97"/>
      <c r="BR48" s="97">
        <f>BO48</f>
        <v>0</v>
      </c>
      <c r="BS48" s="105">
        <v>1.6685748191072182E-4</v>
      </c>
      <c r="BT48" s="97"/>
      <c r="BU48" s="97"/>
      <c r="BV48" s="105">
        <f>BV53</f>
        <v>1.44758035E-7</v>
      </c>
      <c r="BW48" s="97"/>
      <c r="BX48" s="97"/>
      <c r="BY48" s="105">
        <f>BS48</f>
        <v>1.6685748191072182E-4</v>
      </c>
      <c r="BZ48" s="128">
        <f t="shared" ref="BZ48:CA54" si="286">IF($BK$17="11",CN48,IF($BK$17="21",CN48,IF($BK$17="12",DP48,IF($BK$17="22",DP48,IF($BK$17="13",ED48,IF($BK$17="23",ED48,IF($BK$17="14",DB48,IF($BK$17="24",DB48,IF($BK$17="31",CN48,IF($BK$17="41",CN48,IF($BK$17="32",DP48,IF($BK$17="42",DP48,IF($BK$17="33",ED48,IF($BK$17="43",ED48,IF($BK$17="34",DB48,IF($BK$17="44",DB48,))))))))))))))))</f>
        <v>0</v>
      </c>
      <c r="CA48" s="129">
        <f t="shared" si="286"/>
        <v>2.0407980700000002E-2</v>
      </c>
      <c r="CB48" s="129">
        <f t="shared" ref="CB48:CB54" si="287">IF($BK$17="11",CP48,IF($BK$17="21",CP48,IF($BK$17="12",DR48,IF($BK$17="22",DR48,IF($BK$17="13",EF48,IF($BK$17="23",EF48,IF($BK$17="14",DD48,IF($BK$17="24",DD48,IF($BK$17="31",CP48,IF($BK$17="41",CP48,IF($BK$17="32",DR48,IF($BK$17="42",DR48,IF($BK$17="33",EF48,IF($BK$17="43",EF48,IF($BK$17="34",DD48,IF($BK$17="44",DD48,))))))))))))))))</f>
        <v>-0.48103048399999998</v>
      </c>
      <c r="CC48" s="129">
        <f t="shared" ref="CC48:CC54" si="288">IF($BK$17="11",CQ48,IF($BK$17="21",CQ48,IF($BK$17="12",DS48,IF($BK$17="22",DS48,IF($BK$17="13",EG48,IF($BK$17="23",EG48,IF($BK$17="14",DE48,IF($BK$17="24",DE48,IF($BK$17="31",CQ48,IF($BK$17="41",CQ48,IF($BK$17="32",DS48,IF($BK$17="42",DS48,IF($BK$17="33",EG48,IF($BK$17="43",EG48,IF($BK$17="34",DE48,IF($BK$17="44",DE48,))))))))))))))))</f>
        <v>3.0531948600000001</v>
      </c>
      <c r="CD48" s="129">
        <f t="shared" ref="CD48:CD54" si="289">IF($BK$17="11",CR48,IF($BK$17="21",CR48,IF($BK$17="12",DT48,IF($BK$17="22",DT48,IF($BK$17="13",EH48,IF($BK$17="23",EH48,IF($BK$17="14",DF48,IF($BK$17="24",DF48,IF($BK$17="31",CR48,IF($BK$17="41",CR48,IF($BK$17="32",DT48,IF($BK$17="42",DT48,IF($BK$17="33",EH48,IF($BK$17="43",EH48,IF($BK$17="34",DF48,IF($BK$17="44",DF48,))))))))))))))))</f>
        <v>-34.216683400000001</v>
      </c>
      <c r="CE48" s="130">
        <f t="shared" ref="CE48:CE54" si="290">IF($BK$17="11",CS48,IF($BK$17="21",CS48,IF($BK$17="12",DU48,IF($BK$17="22",DU48,IF($BK$17="13",EI48,IF($BK$17="23",EI48,IF($BK$17="14",DG48,IF($BK$17="24",DG48,IF($BK$17="31",CS48,IF($BK$17="41",CS48,IF($BK$17="32",DU48,IF($BK$17="42",DU48,IF($BK$17="33",EI48,IF($BK$17="43",EI48,IF($BK$17="34",DG48,IF($BK$17="44",DG48,))))))))))))))))</f>
        <v>392.20186899999999</v>
      </c>
      <c r="CF48" s="128">
        <f t="shared" ref="CF48:CF54" si="291">IF($BK$17="11",CT48,IF($BK$17="21",CT48,IF($BK$17="12",DV48,IF($BK$17="22",DV48,IF($BK$17="13",EJ48,IF($BK$17="23",EJ48,IF($BK$17="14",DH48,IF($BK$17="24",DH48,IF($BK$17="31",CT48,IF($BK$17="41",CT48,IF($BK$17="32",DV48,IF($BK$17="42",DV48,IF($BK$17="33",EJ48,IF($BK$17="43",EJ48,IF($BK$17="34",DH48,IF($BK$17="44",DH48,))))))))))))))))</f>
        <v>0</v>
      </c>
      <c r="CG48" s="129">
        <f t="shared" ref="CG48:CG54" si="292">IF($BK$17="11",CU48,IF($BK$17="21",CU48,IF($BK$17="12",DW48,IF($BK$17="22",DW48,IF($BK$17="13",EK48,IF($BK$17="23",EK48,IF($BK$17="14",DI48,IF($BK$17="24",DI48,IF($BK$17="31",CU48,IF($BK$17="41",CU48,IF($BK$17="32",DW48,IF($BK$17="42",DW48,IF($BK$17="33",EK48,IF($BK$17="43",EK48,IF($BK$17="34",DI48,IF($BK$17="44",DI48,))))))))))))))))</f>
        <v>-2.4605640100000002E-8</v>
      </c>
      <c r="CH48" s="129">
        <f t="shared" ref="CH48:CH54" si="293">IF($BK$17="11",CV48,IF($BK$17="21",CV48,IF($BK$17="12",DX48,IF($BK$17="22",DX48,IF($BK$17="13",EL48,IF($BK$17="23",EL48,IF($BK$17="14",DJ48,IF($BK$17="24",DJ48,IF($BK$17="31",CV48,IF($BK$17="41",CV48,IF($BK$17="32",DX48,IF($BK$17="42",DX48,IF($BK$17="33",EL48,IF($BK$17="43",EL48,IF($BK$17="34",DJ48,IF($BK$17="44",DJ48,))))))))))))))))</f>
        <v>1.9588753399999999E-5</v>
      </c>
      <c r="CI48" s="129">
        <f t="shared" ref="CI48:CI54" si="294">IF($BK$17="11",CW48,IF($BK$17="21",CW48,IF($BK$17="12",DY48,IF($BK$17="22",DY48,IF($BK$17="13",EM48,IF($BK$17="23",EM48,IF($BK$17="14",DK48,IF($BK$17="24",DK48,IF($BK$17="31",CW48,IF($BK$17="41",CW48,IF($BK$17="32",DY48,IF($BK$17="42",DY48,IF($BK$17="33",EM48,IF($BK$17="43",EM48,IF($BK$17="34",DK48,IF($BK$17="44",DK48,))))))))))))))))</f>
        <v>-2.22791317E-4</v>
      </c>
      <c r="CJ48" s="129">
        <f t="shared" ref="CJ48:CJ54" si="295">IF($BK$17="11",CX48,IF($BK$17="21",CX48,IF($BK$17="12",DZ48,IF($BK$17="22",DZ48,IF($BK$17="13",EN48,IF($BK$17="23",EN48,IF($BK$17="14",DL48,IF($BK$17="24",DL48,IF($BK$17="31",CX48,IF($BK$17="41",CX48,IF($BK$17="32",DZ48,IF($BK$17="42",DZ48,IF($BK$17="33",EN48,IF($BK$17="43",EN48,IF($BK$17="34",DL48,IF($BK$17="44",DL48,))))))))))))))))</f>
        <v>5.8085031699999998</v>
      </c>
      <c r="CK48" s="128">
        <f t="shared" ref="CK48:CK54" si="296">IF($BK$17="11",CY48,IF($BK$17="21",CY48,IF($BK$17="12",EA48,IF($BK$17="22",EA48,IF($BK$17="13",EO48,IF($BK$17="23",EO48,IF($BK$17="14",DM48,IF($BK$17="24",DM48,IF($BK$17="31",CY48,IF($BK$17="41",CY48,IF($BK$17="32",EA48,IF($BK$17="42",EA48,IF($BK$17="33",EO48,IF($BK$17="43",EO48,IF($BK$17="34",DM48,IF($BK$17="44",DM48,))))))))))))))))</f>
        <v>-1.7406350300000001E-4</v>
      </c>
      <c r="CL48" s="129">
        <f t="shared" ref="CL48:CL54" si="297">IF($BK$17="11",CZ48,IF($BK$17="21",CZ48,IF($BK$17="12",EB48,IF($BK$17="22",EB48,IF($BK$17="13",EP48,IF($BK$17="23",EP48,IF($BK$17="14",DN48,IF($BK$17="24",DN48,IF($BK$17="31",CZ48,IF($BK$17="41",CZ48,IF($BK$17="32",EB48,IF($BK$17="42",EB48,IF($BK$17="33",EP48,IF($BK$17="43",EP48,IF($BK$17="34",DN48,IF($BK$17="44",DN48,))))))))))))))))</f>
        <v>-0.106555127</v>
      </c>
      <c r="CM48" s="130">
        <f t="shared" ref="CM48:CM54" si="298">IF($BK$17="11",DA48,IF($BK$17="21",DA48,IF($BK$17="12",EC48,IF($BK$17="22",EC48,IF($BK$17="13",EQ48,IF($BK$17="23",EQ48,IF($BK$17="14",DO48,IF($BK$17="24",DO48,IF($BK$17="31",DA48,IF($BK$17="41",DA48,IF($BK$17="32",EC48,IF($BK$17="42",EC48,IF($BK$17="33",EQ48,IF($BK$17="43",EQ48,IF($BK$17="34",DO48,IF($BK$17="44",DO48,))))))))))))))))</f>
        <v>499.42724099999998</v>
      </c>
      <c r="CN48" s="347"/>
      <c r="CO48" s="389"/>
      <c r="CP48" s="392"/>
      <c r="CQ48" s="110">
        <v>7.1054273600000004E-15</v>
      </c>
      <c r="CR48" s="110">
        <v>-40.351506999999998</v>
      </c>
      <c r="CS48" s="111">
        <v>322.81205599999998</v>
      </c>
      <c r="CT48" s="347"/>
      <c r="CU48" s="349"/>
      <c r="CV48" s="113">
        <v>-3.0707926099999999E-7</v>
      </c>
      <c r="CW48" s="113">
        <v>1.7719288700000001E-3</v>
      </c>
      <c r="CX48" s="116">
        <v>4.3600000000000003</v>
      </c>
      <c r="CY48" s="387"/>
      <c r="CZ48" s="110">
        <v>-0.21857958199999999</v>
      </c>
      <c r="DA48" s="421">
        <v>361.70048800000001</v>
      </c>
      <c r="DB48" s="356"/>
      <c r="DC48" s="110">
        <v>3.8823816499999997E-2</v>
      </c>
      <c r="DD48" s="110">
        <v>-0.36179265599999999</v>
      </c>
      <c r="DE48" s="110">
        <v>-0.78037055300000002</v>
      </c>
      <c r="DF48" s="110">
        <v>-32.394560800000001</v>
      </c>
      <c r="DG48" s="111">
        <v>330.51811800000002</v>
      </c>
      <c r="DH48" s="356"/>
      <c r="DI48" s="112">
        <v>-3.26494052E-8</v>
      </c>
      <c r="DJ48" s="110">
        <v>2.16361472E-5</v>
      </c>
      <c r="DK48" s="110">
        <v>-1.5473429699999999E-4</v>
      </c>
      <c r="DL48" s="111">
        <v>5.2288527699999996</v>
      </c>
      <c r="DM48" s="110">
        <v>-1.4810601699999999E-4</v>
      </c>
      <c r="DN48" s="110">
        <v>-3.2019088199999997E-2</v>
      </c>
      <c r="DO48" s="421">
        <v>392.82859100000002</v>
      </c>
      <c r="DP48" s="420"/>
      <c r="DQ48" s="110">
        <v>2.0407980700000002E-2</v>
      </c>
      <c r="DR48" s="110">
        <v>-0.48103048399999998</v>
      </c>
      <c r="DS48" s="110">
        <v>3.0531948600000001</v>
      </c>
      <c r="DT48" s="110">
        <v>-34.216683400000001</v>
      </c>
      <c r="DU48" s="111">
        <v>392.20186899999999</v>
      </c>
      <c r="DV48" s="376"/>
      <c r="DW48" s="125">
        <v>-2.4605640100000002E-8</v>
      </c>
      <c r="DX48" s="121">
        <v>1.9588753399999999E-5</v>
      </c>
      <c r="DY48" s="121">
        <v>-2.22791317E-4</v>
      </c>
      <c r="DZ48" s="122">
        <v>5.8085031699999998</v>
      </c>
      <c r="EA48" s="110">
        <f xml:space="preserve"> -0.000174063503</f>
        <v>-1.7406350300000001E-4</v>
      </c>
      <c r="EB48" s="110">
        <v>-0.106555127</v>
      </c>
      <c r="EC48" s="421">
        <v>499.42724099999998</v>
      </c>
      <c r="ED48" s="420"/>
      <c r="EE48" s="110">
        <v>1.7359641299999999E-3</v>
      </c>
      <c r="EF48" s="110">
        <v>-7.7858634100000004E-2</v>
      </c>
      <c r="EG48" s="110">
        <v>0.72641203700000001</v>
      </c>
      <c r="EH48" s="110">
        <v>-24.177086599999999</v>
      </c>
      <c r="EI48" s="111">
        <v>701.43104900000003</v>
      </c>
      <c r="EJ48" s="376"/>
      <c r="EK48" s="112">
        <v>-2.8539762300000001E-8</v>
      </c>
      <c r="EL48" s="110">
        <v>3.9686960500000003E-5</v>
      </c>
      <c r="EM48" s="110">
        <v>-3.1540636799999998E-3</v>
      </c>
      <c r="EN48" s="111">
        <v>17.514843599999999</v>
      </c>
      <c r="EO48" s="394">
        <v>-1.65487531E-5</v>
      </c>
      <c r="EP48" s="394">
        <v>-4.8852156899999999E-2</v>
      </c>
      <c r="EQ48" s="430">
        <v>680.89114099999995</v>
      </c>
      <c r="ER48" s="137">
        <v>33</v>
      </c>
      <c r="ES48" s="362"/>
      <c r="ET48" s="137">
        <v>33</v>
      </c>
      <c r="EU48" s="362"/>
      <c r="EV48" s="137">
        <f>EX48</f>
        <v>33</v>
      </c>
      <c r="EW48" s="362"/>
      <c r="EX48" s="137">
        <v>33</v>
      </c>
      <c r="EY48" s="362"/>
      <c r="EZ48" s="137">
        <f t="shared" ref="EZ48:EZ54" si="299">IF($BK$17="11",FA48,IF($BK$17="21",FA48,IF($BK$17="12",FC48,IF($BK$17="22",FC48,IF($BK$17="13",FD48,IF($BK$17="23",FD48,IF($BK$17="14",FB48,IF($BK$17="24",FB48,IF($BK$17="31",FE48,IF($BK$17="41",FE48,IF($BK$17="32",FG48,IF($BK$17="42",FG48,IF($BK$17="33",FH48,IF($BK$17="43",FH48,IF($BK$17="34",FF48,IF($BK$17="44",FF48,))))))))))))))))</f>
        <v>17.5</v>
      </c>
      <c r="FA48" s="143">
        <f>Tavg_cold</f>
        <v>17</v>
      </c>
      <c r="FB48" s="143">
        <f t="shared" ref="FB48:FB54" si="300">IF($GC48&lt;=$FC48,$FC48,IF($FM48&lt;=$FP48,$FC48,$FZ48))</f>
        <v>17.5</v>
      </c>
      <c r="FC48" s="143">
        <f t="shared" ref="FC48:FC54" si="301">IF($N48&gt;$FN48,Tavg_cold+(0.5*(Tr_cool-Tavg_cold)),Tavg_cold+($FJ48*(Tr_cool-Tavg_cold)))</f>
        <v>17.5</v>
      </c>
      <c r="FD48" s="143">
        <f t="shared" ref="FD48:FD54" si="302">IF($GC48&lt;=$FC48,$FC48,IF($FM48&lt;=$FP48,$FC48,$FZ48))</f>
        <v>17.5</v>
      </c>
      <c r="FE48" s="168">
        <f>FH48*1.04</f>
        <v>18.2</v>
      </c>
      <c r="FF48" s="497">
        <f t="shared" ref="FF48:FF54" si="303">IF($GC48&lt;=$FU48,$FU48,IF($FM48&lt;=$FP48,Tavg_cold,$GA48))</f>
        <v>17.5</v>
      </c>
      <c r="FG48" s="497">
        <f>FH48*1.05</f>
        <v>18.375</v>
      </c>
      <c r="FH48" s="497">
        <f t="shared" ref="FH48:FH54" si="304">IF($GC48&lt;=$FU48,$FU48,IF($FM48&lt;=$FP48,Tavg_cold,$GA48))</f>
        <v>17.5</v>
      </c>
      <c r="FJ48" s="344">
        <f t="shared" ref="FJ48:FJ54" si="305">0.5*(1-((FN48-N48)/FN48))</f>
        <v>0.5</v>
      </c>
      <c r="FK48" s="241">
        <f t="shared" ref="FK48:FK54" si="306">(0.025*Tl_cool)+0.5</f>
        <v>1.175</v>
      </c>
      <c r="FL48" s="495">
        <f t="shared" ref="FL48:FL54" si="307">(0.13*Tl_cool)-2.04</f>
        <v>1.4700000000000002</v>
      </c>
      <c r="FM48" s="230">
        <f>FQ48/FO48</f>
        <v>0.55914529241205568</v>
      </c>
      <c r="FN48" s="226">
        <f>DU48</f>
        <v>392.20186899999999</v>
      </c>
      <c r="FO48" s="226">
        <f>EI48</f>
        <v>701.43104900000003</v>
      </c>
      <c r="FP48" s="222">
        <f>FN48/FO48</f>
        <v>0.55914529241205568</v>
      </c>
      <c r="FQ48" s="238">
        <f t="shared" ref="FQ48:FQ54" si="308">N48/Cubics</f>
        <v>392.20186899999999</v>
      </c>
      <c r="FR48" s="241">
        <f t="shared" ref="FR48:FR54" si="309">IF(FQ48-(FP48*FO48)&lt;=0,0,FQ48-(FP48*FO48))</f>
        <v>0</v>
      </c>
      <c r="FS48" s="242">
        <f>FO48*(1-FP48)</f>
        <v>309.22918000000004</v>
      </c>
      <c r="FT48" s="248">
        <f>IF((FR48/FS48)&gt;1,1,FR48/FS48)</f>
        <v>0</v>
      </c>
      <c r="FU48" s="224">
        <f t="shared" si="258"/>
        <v>17.5</v>
      </c>
      <c r="FV48" s="219">
        <f t="shared" ref="FV48:FV54" si="310">Tr_cool*FK48</f>
        <v>21.150000000000002</v>
      </c>
      <c r="FW48" s="224">
        <f t="shared" si="259"/>
        <v>3.6500000000000021</v>
      </c>
      <c r="FX48" s="224">
        <f t="shared" ref="FX48:FX54" si="311">Tv_cool*FL48</f>
        <v>23.520000000000003</v>
      </c>
      <c r="FY48" s="224">
        <f t="shared" si="260"/>
        <v>6.0200000000000031</v>
      </c>
      <c r="FZ48" s="224">
        <f t="shared" si="261"/>
        <v>17.5</v>
      </c>
      <c r="GA48" s="500">
        <f t="shared" ref="GA48:GA54" si="312">FU48+(FT48*FY48)</f>
        <v>17.5</v>
      </c>
      <c r="GC48" s="161">
        <f t="shared" ref="GC48:GC54" si="313">(237.3*LN((RH*EXP(17.27*(Tl_cool/(Tl_cool+237.3))))))/(17.27-LN((RH*EXP(17.27*(Tl_cool/(Tl_cool+237.3))))))</f>
        <v>15.69066559142683</v>
      </c>
      <c r="GE48" s="259">
        <f t="shared" ref="GE48:GE54" si="314">(H48-G48)/H48</f>
        <v>0</v>
      </c>
      <c r="GG48" s="305">
        <f t="shared" ref="GG48:GG54" si="315">(611*EXP(17.27*(Tl_heat/(Tl_heat+237.7))))</f>
        <v>2334.1781978570243</v>
      </c>
      <c r="GH48" s="305">
        <f t="shared" ref="GH48:GH54" si="316">(611*EXP(17.27*((($P48-Celc2)/Celc1)/((($P48-Celc2)/Celc1)+237.7))))</f>
        <v>13829.893969101324</v>
      </c>
      <c r="GI48" s="305">
        <f t="shared" ref="GI48:GI54" si="317">RH*$GG48</f>
        <v>1167.0890989285122</v>
      </c>
      <c r="GJ48" s="305">
        <f t="shared" ref="GJ48:GJ54" si="318">(GL48*p_atm)/(GL48+0.622)</f>
        <v>1167.0890989285119</v>
      </c>
      <c r="GK48" s="305">
        <f t="shared" ref="GK48:GK54" si="319">0.622*($GI48/(p_atm-$GI48))</f>
        <v>7.2478490515896785E-3</v>
      </c>
      <c r="GL48" s="305">
        <f t="shared" si="15"/>
        <v>7.2478490515896785E-3</v>
      </c>
      <c r="GM48" s="305">
        <f t="shared" ref="GM48:GM54" si="320">(1.005*Tl_heat)+($GK48*(2500+(1.87*Tl_heat)))</f>
        <v>38.490692183503647</v>
      </c>
      <c r="GN48" s="305">
        <f t="shared" ref="GN48:GN54" si="321">(1.005*(($P48-Celc2)/Celc1))+($GL48*(2500+(1.87*(($P48-Celc2)/Celc1))))</f>
        <v>71.492996747179589</v>
      </c>
      <c r="GO48" s="306">
        <f t="shared" si="16"/>
        <v>8.4388868167465075E-2</v>
      </c>
      <c r="GQ48" s="305">
        <f t="shared" ref="GQ48:GQ54" si="322">(611*EXP(17.27*(Tl_cool/(Tl_cool+237.7))))</f>
        <v>3557.0118570174286</v>
      </c>
      <c r="GR48" s="305">
        <f t="shared" ref="GR48:GR54" si="323">(611*EXP(17.27*((($R48-Celc2)/Celc1)/((($R48-Celc2)/Celc1)+237.7))))</f>
        <v>2414.7644130640556</v>
      </c>
      <c r="GS48" s="305">
        <f t="shared" ref="GS48:GS54" si="324">RH*$GQ48</f>
        <v>1778.5059285087143</v>
      </c>
      <c r="GT48" s="305">
        <f t="shared" ref="GT48:GT54" si="325">(GW48*p_atm)/(GW48+0.622)</f>
        <v>1778.5059285087143</v>
      </c>
      <c r="GU48" s="305">
        <f t="shared" ref="GU48:GU54" si="326">T48*GR48</f>
        <v>1778.5059285087143</v>
      </c>
      <c r="GV48" s="307">
        <f t="shared" ref="GV48:GV54" si="327">0.622*($GS48/(p_atm-$GS48))</f>
        <v>1.1112703645172665E-2</v>
      </c>
      <c r="GW48" s="307">
        <f t="shared" ref="GW48:GW54" si="328">IF(H48=G48,GV48,(0.53475935828878*($GZ48-(1.005*(($R48-Celc2)/Celc1))))/(1336.8983957219))</f>
        <v>1.1112703645172665E-2</v>
      </c>
      <c r="GX48" s="305">
        <f t="shared" ref="GX48:GX54" si="329">0.622*($GU48/(p_atm-$GU48))</f>
        <v>1.1112703645172665E-2</v>
      </c>
      <c r="GY48" s="305">
        <f t="shared" ref="GY48:GY54" si="330">(1.005*Tl_cool)+($GV48*(2500+(1.87*Tl_cool)))</f>
        <v>55.477839519976428</v>
      </c>
      <c r="GZ48" s="305">
        <f t="shared" ref="GZ48:GZ54" si="331">GY48-((((H48-G48)/Watts)/1000)/(N48/$L$15))</f>
        <v>55.477839519976428</v>
      </c>
      <c r="HA48" s="305">
        <f t="shared" ref="HA48:HA54" si="332">(1.005*(($R48-Celc2)/Celc1))+($GX48*(2500+(1.87*(($R48-Celc2)/Celc1))))</f>
        <v>48.861821973054646</v>
      </c>
      <c r="HB48" s="305">
        <f t="shared" si="17"/>
        <v>19.415087041495514</v>
      </c>
      <c r="HC48" s="305">
        <f t="shared" si="18"/>
        <v>19.415087041495514</v>
      </c>
      <c r="HD48" s="529">
        <f t="shared" ref="HD48:HD54" si="333">H48</f>
        <v>851.08654939233088</v>
      </c>
      <c r="HE48" s="57">
        <f t="shared" si="7"/>
        <v>392.20186899999999</v>
      </c>
      <c r="HF48" s="57">
        <f t="shared" ref="HF48:HF54" si="334">IF(Geg_dP&lt;$AB48,((($BL$48*($HE48/Cubics)^4+$BL$49*($HE48/Cubics)^3+$BL$51*($HE48/Cubics)^2+$BL$53*($HE48/Cubics)^1+$BL$54)*((CF_Regime_Cool_noExp)^$Y48)))*CF_Addit*Watts*CF_Altit,Lim_dP)</f>
        <v>851.08654939233088</v>
      </c>
      <c r="HG48" s="525">
        <f t="shared" si="9"/>
        <v>17.5</v>
      </c>
      <c r="HH48" s="57">
        <f t="shared" si="10"/>
        <v>17.5</v>
      </c>
      <c r="HI48" s="503">
        <f t="shared" si="75"/>
        <v>851.08654939233088</v>
      </c>
      <c r="HJ48" s="2">
        <f t="shared" si="90"/>
        <v>1</v>
      </c>
      <c r="HK48" s="503">
        <f t="shared" si="76"/>
        <v>851.08654939233088</v>
      </c>
      <c r="HL48" s="344">
        <f t="shared" ref="HL48:HL54" si="335">0.5*(1-((HP48-HE48)/HP48))</f>
        <v>0.5</v>
      </c>
      <c r="HM48" s="241">
        <f t="shared" ref="HM48:HM54" si="336">(0.025*Tl_cool)+0.5</f>
        <v>1.175</v>
      </c>
      <c r="HN48" s="495">
        <f t="shared" ref="HN48:HN54" si="337">(0.13*Tl_cool)-2.04</f>
        <v>1.4700000000000002</v>
      </c>
      <c r="HO48" s="230">
        <f>HS48/HQ48</f>
        <v>0.55914529241205568</v>
      </c>
      <c r="HP48" s="226">
        <f t="shared" ref="HP48:HP54" si="338">DU48</f>
        <v>392.20186899999999</v>
      </c>
      <c r="HQ48" s="226">
        <f t="shared" si="80"/>
        <v>701.43104900000003</v>
      </c>
      <c r="HR48" s="222">
        <f>HP48/HQ48</f>
        <v>0.55914529241205568</v>
      </c>
      <c r="HS48" s="251">
        <f t="shared" si="11"/>
        <v>392.20186899999999</v>
      </c>
      <c r="HT48" s="241">
        <f t="shared" ref="HT48:HT54" si="339">IF(HS48-(HR48*HQ48)&lt;=0,0,HS48-(HR48*HQ48))</f>
        <v>0</v>
      </c>
      <c r="HU48" s="242">
        <f>HQ48*(1-HR48)</f>
        <v>309.22918000000004</v>
      </c>
      <c r="HV48" s="248">
        <f>IF((HT48/HU48)&gt;1,1,HT48/HU48)</f>
        <v>0</v>
      </c>
      <c r="HW48" s="224">
        <f t="shared" si="12"/>
        <v>17.5</v>
      </c>
      <c r="HX48" s="219">
        <f t="shared" ref="HX48:HX54" si="340">Tr_cool*HM48</f>
        <v>21.150000000000002</v>
      </c>
      <c r="HY48" s="224">
        <f t="shared" ref="HY48:HY53" si="341">ABS(HX48-HW48)</f>
        <v>3.6500000000000021</v>
      </c>
      <c r="HZ48" s="224">
        <f t="shared" ref="HZ48:HZ54" si="342">Tv_cool*HN48</f>
        <v>23.520000000000003</v>
      </c>
      <c r="IA48" s="224">
        <f t="shared" ref="IA48:IA53" si="343">ABS(HZ48-HW48)</f>
        <v>6.0200000000000031</v>
      </c>
      <c r="IB48" s="224">
        <f t="shared" ref="IB48:IB53" si="344">IF(HO48&lt;=HR48,HW48,HW48+(HV48*HY48))</f>
        <v>17.5</v>
      </c>
      <c r="IC48" s="500">
        <f t="shared" ref="IC48:IC54" si="345">HW48+(HV48*IA48)</f>
        <v>17.5</v>
      </c>
      <c r="IE48" s="161">
        <f t="shared" ref="IE48:IE54" si="346">(237.3*LN((RH*EXP(17.27*(Tl_cool/(Tl_cool+237.3))))))/(17.27-LN((RH*EXP(17.27*(Tl_cool/(Tl_cool+237.3))))))</f>
        <v>15.69066559142683</v>
      </c>
      <c r="IG48" s="259">
        <f t="shared" ref="IG48:IG54" si="347">(BG48-BF48)/BG48</f>
        <v>0.16579836172705312</v>
      </c>
      <c r="II48" s="305">
        <f t="shared" ref="II48:II54" si="348">(611*EXP(17.27*(Tl_heat/(Tl_heat+237.7))))</f>
        <v>2334.1781978570243</v>
      </c>
      <c r="IJ48" s="305">
        <f t="shared" ref="IJ48:IJ54" si="349">(611*EXP(17.27*((($P48-Celc2)/Celc1)/((($P48-Celc2)/Celc1)+237.7))))</f>
        <v>13829.893969101324</v>
      </c>
    </row>
    <row r="49" spans="1:244" ht="15" customHeight="1" x14ac:dyDescent="0.25">
      <c r="B49" s="195">
        <f>IF($AL$5=1,$C49/10,IF($AL$5=2,$C49/10,IF($AL$5=3,0,IF($AL$5=4,$C49/10,))))</f>
        <v>0.4</v>
      </c>
      <c r="C49" s="336">
        <v>4</v>
      </c>
      <c r="D49" s="329">
        <f t="shared" ref="D49:D54" si="350">IF(Geg_dP&lt;AB49,((($BK$48*($N49/Cubics)^4+$BK$49*($N49/Cubics)^3+$BK$51*($N49/Cubics)^2+$BK$53*($N49/Cubics)^1+$BK$54)*((CF_Regime_Heat_noExp)^$AA49)))*CF_Addit*Watts*CF_Altit,Lim_dP)</f>
        <v>7707.3785069523192</v>
      </c>
      <c r="E49" s="30">
        <f t="shared" si="268"/>
        <v>663</v>
      </c>
      <c r="F49" s="330">
        <f t="shared" si="269"/>
        <v>4.6175392075661943</v>
      </c>
      <c r="G49" s="329">
        <f t="shared" si="270"/>
        <v>1532.5657350229121</v>
      </c>
      <c r="H49" s="32">
        <f t="shared" si="271"/>
        <v>1532.5657350229121</v>
      </c>
      <c r="I49" s="30">
        <f>IF(Geg_dP&lt;AB49,ROUND(((IF('Briza 22 &amp; 26'!$M$4="High Perform. 208/230V (US/EU)",cal!HK49,H49)/Watts)/((Tr_cool-Tv_cool)*1.163))*FlowH2O,IF(UnitsNo=1,0,IF(UnitsNo=2,2))),"")</f>
        <v>659</v>
      </c>
      <c r="J49" s="330">
        <f t="shared" si="272"/>
        <v>4.5555509663628619</v>
      </c>
      <c r="K49" s="333">
        <f t="shared" si="273"/>
        <v>34</v>
      </c>
      <c r="L49" s="297">
        <f>IF(Geg_dP&lt;$AB49,IF(CalcNo="12",$ET49,IF(CalcNo="22",$ET49,IF(CalcNo="13",$EU49,IF(CalcNo="23",$EU49,IF(CalcNo="11",$ER49,IF(CalcNo="21",$ER49,IF(CalcNo="14",$ES49,IF(CalcNo="24",$ES49,IF(CalcNo="32",$EX49,IF(CalcNo="42",$EX49,IF(CalcNo="33",$EY49,IF(CalcNo="43",$EY49,IF(CalcNo="31",$EV49,IF(CalcNo="41",$EV49,IF(CalcNo="34",$EW49,IF(CalcNo="44",$EW49,)))))))))))))))),"")</f>
        <v>42</v>
      </c>
      <c r="M49" s="198">
        <f t="shared" si="274"/>
        <v>17.835695984517578</v>
      </c>
      <c r="N49" s="197">
        <f t="shared" si="275"/>
        <v>706.45038299999999</v>
      </c>
      <c r="O49" s="480">
        <f t="shared" si="276"/>
        <v>0.57547277859237533</v>
      </c>
      <c r="P49" s="198">
        <f t="shared" si="277"/>
        <v>52.024385925487387</v>
      </c>
      <c r="Q49" s="297">
        <f t="shared" si="278"/>
        <v>23.800606917086789</v>
      </c>
      <c r="R49" s="509">
        <f t="shared" si="279"/>
        <v>20.552141775749657</v>
      </c>
      <c r="S49" s="36">
        <f t="shared" si="280"/>
        <v>17.328704959738953</v>
      </c>
      <c r="T49" s="300">
        <f t="shared" si="281"/>
        <v>0.73642799589407182</v>
      </c>
      <c r="U49" s="416">
        <f t="shared" si="282"/>
        <v>641.5232398664856</v>
      </c>
      <c r="V49" s="483">
        <f t="shared" si="283"/>
        <v>9.0888910374139167E-2</v>
      </c>
      <c r="W49" s="513">
        <f t="shared" si="284"/>
        <v>2.1693890638359412</v>
      </c>
      <c r="X49" s="56">
        <f t="shared" si="1"/>
        <v>0.98023000000000005</v>
      </c>
      <c r="Y49" s="56">
        <f t="shared" si="166"/>
        <v>1.2901100000000001</v>
      </c>
      <c r="Z49" s="56">
        <f t="shared" si="167"/>
        <v>1.0895999999999999</v>
      </c>
      <c r="AA49" s="56">
        <f t="shared" si="13"/>
        <v>0.98023000000000005</v>
      </c>
      <c r="AB49" s="56">
        <f t="shared" si="14"/>
        <v>28.38</v>
      </c>
      <c r="AC49" s="95">
        <v>0.98023000000000005</v>
      </c>
      <c r="AD49" s="95">
        <v>1.2901100000000001</v>
      </c>
      <c r="AE49" s="95">
        <v>1.0895999999999999</v>
      </c>
      <c r="AF49" s="96">
        <v>20</v>
      </c>
      <c r="AG49" s="95">
        <v>0.98023000000000005</v>
      </c>
      <c r="AH49" s="95">
        <v>1.2901100000000001</v>
      </c>
      <c r="AI49" s="95">
        <v>1.0895999999999999</v>
      </c>
      <c r="AJ49" s="486">
        <v>27</v>
      </c>
      <c r="AK49" s="487">
        <v>0.98023000000000005</v>
      </c>
      <c r="AL49" s="487">
        <v>1.2901100000000001</v>
      </c>
      <c r="AM49" s="487">
        <v>1.0895999999999999</v>
      </c>
      <c r="AN49" s="486">
        <v>28.38</v>
      </c>
      <c r="AO49" s="487">
        <v>1.0115144976993358</v>
      </c>
      <c r="AP49" s="487">
        <v>1.35606862651545</v>
      </c>
      <c r="AQ49" s="487">
        <v>1.0900000000000001</v>
      </c>
      <c r="AR49" s="486">
        <v>77.72</v>
      </c>
      <c r="AS49" s="487">
        <v>0.98023000000000005</v>
      </c>
      <c r="AT49" s="487">
        <v>1.2901100000000001</v>
      </c>
      <c r="AU49" s="487">
        <v>1.0895999999999999</v>
      </c>
      <c r="AV49" s="486">
        <f t="shared" si="179"/>
        <v>20</v>
      </c>
      <c r="AW49" s="487">
        <v>0.98023000000000005</v>
      </c>
      <c r="AX49" s="487">
        <v>1.2901100000000001</v>
      </c>
      <c r="AY49" s="487">
        <v>1.0895999999999999</v>
      </c>
      <c r="AZ49" s="486">
        <f t="shared" si="180"/>
        <v>27</v>
      </c>
      <c r="BA49" s="95">
        <v>0.98022771993139868</v>
      </c>
      <c r="BB49" s="95">
        <v>1.2901116929825902</v>
      </c>
      <c r="BC49" s="95">
        <v>1.091482988399473</v>
      </c>
      <c r="BD49" s="96">
        <f t="shared" si="181"/>
        <v>28.38</v>
      </c>
      <c r="BE49" s="95">
        <v>0.98349171277865222</v>
      </c>
      <c r="BF49" s="95">
        <v>0.91323972525038233</v>
      </c>
      <c r="BG49" s="95">
        <v>1.0947469812467265</v>
      </c>
      <c r="BH49" s="96">
        <f t="shared" si="182"/>
        <v>77.72</v>
      </c>
      <c r="BJ49" s="182"/>
      <c r="BK49" s="82">
        <f t="shared" si="285"/>
        <v>0</v>
      </c>
      <c r="BL49" s="83">
        <f t="shared" si="285"/>
        <v>0</v>
      </c>
      <c r="BM49" s="87">
        <f t="shared" si="285"/>
        <v>2.2334200000000002</v>
      </c>
      <c r="BN49" s="97"/>
      <c r="BO49" s="97"/>
      <c r="BP49" s="106">
        <f>BP54</f>
        <v>2.2334200000000002</v>
      </c>
      <c r="BQ49" s="97"/>
      <c r="BR49" s="97">
        <f>BO49</f>
        <v>0</v>
      </c>
      <c r="BS49" s="106">
        <v>1.8297986249451814</v>
      </c>
      <c r="BT49" s="97"/>
      <c r="BU49" s="97"/>
      <c r="BV49" s="106">
        <f>BV54</f>
        <v>2.5147659999999998</v>
      </c>
      <c r="BW49" s="97"/>
      <c r="BX49" s="97"/>
      <c r="BY49" s="106">
        <f>BS49</f>
        <v>1.8297986249451814</v>
      </c>
      <c r="BZ49" s="131">
        <f t="shared" si="286"/>
        <v>0</v>
      </c>
      <c r="CA49" s="132">
        <f t="shared" si="286"/>
        <v>5.0317734499999997E-4</v>
      </c>
      <c r="CB49" s="132">
        <f t="shared" si="287"/>
        <v>-2.94386523E-2</v>
      </c>
      <c r="CC49" s="132">
        <f t="shared" si="288"/>
        <v>0.363138656</v>
      </c>
      <c r="CD49" s="132">
        <f t="shared" si="289"/>
        <v>-20.470696100000001</v>
      </c>
      <c r="CE49" s="133">
        <f t="shared" si="290"/>
        <v>706.45038299999999</v>
      </c>
      <c r="CF49" s="131">
        <f t="shared" si="291"/>
        <v>0</v>
      </c>
      <c r="CG49" s="132">
        <f t="shared" si="292"/>
        <v>-2.4432736500000002E-8</v>
      </c>
      <c r="CH49" s="132">
        <f t="shared" si="293"/>
        <v>3.2334441600000002E-5</v>
      </c>
      <c r="CI49" s="132">
        <f t="shared" si="294"/>
        <v>-6.7097033299999998E-4</v>
      </c>
      <c r="CJ49" s="132">
        <f t="shared" si="295"/>
        <v>10.7867269</v>
      </c>
      <c r="CK49" s="131">
        <f t="shared" si="296"/>
        <v>-1.12966808E-4</v>
      </c>
      <c r="CL49" s="132">
        <f t="shared" si="297"/>
        <v>-9.6343656599999994E-2</v>
      </c>
      <c r="CM49" s="133">
        <f t="shared" si="298"/>
        <v>765.96384</v>
      </c>
      <c r="CN49" s="350"/>
      <c r="CO49" s="386"/>
      <c r="CP49" s="113">
        <v>1.7763568400000001E-15</v>
      </c>
      <c r="CQ49" s="113">
        <v>-1.1368683799999999E-13</v>
      </c>
      <c r="CR49" s="113">
        <v>-29.732689300000001</v>
      </c>
      <c r="CS49" s="114">
        <v>594.65378699999997</v>
      </c>
      <c r="CT49" s="350"/>
      <c r="CU49" s="352"/>
      <c r="CV49" s="113">
        <v>-2.2946788799999999E-6</v>
      </c>
      <c r="CW49" s="113">
        <v>7.3175832199999999E-3</v>
      </c>
      <c r="CX49" s="116">
        <v>7.6265714300000003</v>
      </c>
      <c r="CY49" s="113">
        <v>-8.6397475000000006E-5</v>
      </c>
      <c r="CZ49" s="113">
        <v>-4.4811861500000001E-2</v>
      </c>
      <c r="DA49" s="423">
        <v>586.70825600000001</v>
      </c>
      <c r="DB49" s="357"/>
      <c r="DC49" s="113">
        <v>1.4962907800000001E-3</v>
      </c>
      <c r="DD49" s="113">
        <v>-8.3708256699999997E-2</v>
      </c>
      <c r="DE49" s="113">
        <v>1.1572451100000001</v>
      </c>
      <c r="DF49" s="113">
        <v>-26.540213900000001</v>
      </c>
      <c r="DG49" s="114">
        <v>756.10243200000002</v>
      </c>
      <c r="DH49" s="357"/>
      <c r="DI49" s="115">
        <v>-2.41981525E-8</v>
      </c>
      <c r="DJ49" s="113">
        <v>3.1646025900000001E-5</v>
      </c>
      <c r="DK49" s="113">
        <v>1.5062632700000001E-3</v>
      </c>
      <c r="DL49" s="116">
        <v>11.187891499999999</v>
      </c>
      <c r="DM49" s="113">
        <v>-2.3473909700000002E-5</v>
      </c>
      <c r="DN49" s="113">
        <v>-9.2717067599999994E-2</v>
      </c>
      <c r="DO49" s="423">
        <v>733.76752799999997</v>
      </c>
      <c r="DP49" s="422"/>
      <c r="DQ49" s="113">
        <v>5.0317734499999997E-4</v>
      </c>
      <c r="DR49" s="113">
        <v>-2.94386523E-2</v>
      </c>
      <c r="DS49" s="113">
        <v>0.363138656</v>
      </c>
      <c r="DT49" s="113">
        <v>-20.470696100000001</v>
      </c>
      <c r="DU49" s="114">
        <v>706.45038299999999</v>
      </c>
      <c r="DV49" s="378"/>
      <c r="DW49" s="126">
        <v>-2.4432736500000002E-8</v>
      </c>
      <c r="DX49" s="120">
        <v>3.2334441600000002E-5</v>
      </c>
      <c r="DY49" s="120">
        <v>-6.7097033299999998E-4</v>
      </c>
      <c r="DZ49" s="114">
        <v>10.7867269</v>
      </c>
      <c r="EA49" s="113">
        <f xml:space="preserve"> -0.000112966808</f>
        <v>-1.12966808E-4</v>
      </c>
      <c r="EB49" s="113">
        <v>-9.6343656599999994E-2</v>
      </c>
      <c r="EC49" s="423">
        <v>765.96384</v>
      </c>
      <c r="ED49" s="422"/>
      <c r="EE49" s="113">
        <v>5.5143040899999998E-5</v>
      </c>
      <c r="EF49" s="113">
        <v>-8.3075374099999995E-3</v>
      </c>
      <c r="EG49" s="113">
        <v>0.27381344499999999</v>
      </c>
      <c r="EH49" s="113">
        <v>-14.529025799999999</v>
      </c>
      <c r="EI49" s="116">
        <v>1407.8874900000001</v>
      </c>
      <c r="EJ49" s="378"/>
      <c r="EK49" s="115">
        <v>-1.5470240300000001E-8</v>
      </c>
      <c r="EL49" s="113">
        <v>4.1685276700000001E-5</v>
      </c>
      <c r="EM49" s="113">
        <v>4.9765149400000002E-3</v>
      </c>
      <c r="EN49" s="116">
        <v>38.416775000000001</v>
      </c>
      <c r="EO49" s="395">
        <v>-2.2792859600000001E-5</v>
      </c>
      <c r="EP49" s="395">
        <v>-1.8733551500000001E-2</v>
      </c>
      <c r="EQ49" s="433">
        <v>1174.7078200000001</v>
      </c>
      <c r="ER49" s="137">
        <v>42</v>
      </c>
      <c r="ES49" s="365"/>
      <c r="ET49" s="137">
        <v>42</v>
      </c>
      <c r="EU49" s="365"/>
      <c r="EV49" s="137">
        <f>EX49</f>
        <v>44.5</v>
      </c>
      <c r="EW49" s="365"/>
      <c r="EX49" s="137">
        <v>44.5</v>
      </c>
      <c r="EY49" s="365"/>
      <c r="EZ49" s="137">
        <f t="shared" si="299"/>
        <v>17.5</v>
      </c>
      <c r="FA49" s="143">
        <f>Tavg_cold</f>
        <v>17</v>
      </c>
      <c r="FB49" s="143">
        <f t="shared" si="300"/>
        <v>17.5</v>
      </c>
      <c r="FC49" s="143">
        <f t="shared" si="301"/>
        <v>17.5</v>
      </c>
      <c r="FD49" s="143">
        <f t="shared" si="302"/>
        <v>17.5</v>
      </c>
      <c r="FE49" s="143">
        <f t="shared" ref="FE49:FE54" si="351">FH49*1.04</f>
        <v>18.2</v>
      </c>
      <c r="FF49" s="497">
        <f t="shared" si="303"/>
        <v>17.5</v>
      </c>
      <c r="FG49" s="497">
        <f>FH49*1.05</f>
        <v>18.375</v>
      </c>
      <c r="FH49" s="497">
        <f t="shared" si="304"/>
        <v>17.5</v>
      </c>
      <c r="FJ49" s="344">
        <f t="shared" si="305"/>
        <v>0.5</v>
      </c>
      <c r="FK49" s="241">
        <f t="shared" si="306"/>
        <v>1.175</v>
      </c>
      <c r="FL49" s="495">
        <f t="shared" si="307"/>
        <v>1.4700000000000002</v>
      </c>
      <c r="FM49" s="230">
        <f t="shared" ref="FM49:FM54" si="352">FQ49/FO49</f>
        <v>0.50178042494006392</v>
      </c>
      <c r="FN49" s="226">
        <f>DU49</f>
        <v>706.45038299999999</v>
      </c>
      <c r="FO49" s="226">
        <f>EI49</f>
        <v>1407.8874900000001</v>
      </c>
      <c r="FP49" s="222">
        <f>FN49/FO49</f>
        <v>0.50178042494006392</v>
      </c>
      <c r="FQ49" s="238">
        <f t="shared" si="308"/>
        <v>706.45038299999999</v>
      </c>
      <c r="FR49" s="241">
        <f t="shared" si="309"/>
        <v>0</v>
      </c>
      <c r="FS49" s="242">
        <f t="shared" ref="FS49:FS54" si="353">FO49*(1-FP49)</f>
        <v>701.43710700000008</v>
      </c>
      <c r="FT49" s="248">
        <f t="shared" ref="FT49:FT54" si="354">IF((FR49/FS49)&gt;1,1,FR49/FS49)</f>
        <v>0</v>
      </c>
      <c r="FU49" s="224">
        <f t="shared" si="258"/>
        <v>17.5</v>
      </c>
      <c r="FV49" s="219">
        <f t="shared" si="310"/>
        <v>21.150000000000002</v>
      </c>
      <c r="FW49" s="224">
        <f t="shared" si="259"/>
        <v>3.6500000000000021</v>
      </c>
      <c r="FX49" s="224">
        <f t="shared" si="311"/>
        <v>23.520000000000003</v>
      </c>
      <c r="FY49" s="224">
        <f t="shared" si="260"/>
        <v>6.0200000000000031</v>
      </c>
      <c r="FZ49" s="224">
        <f t="shared" si="261"/>
        <v>17.5</v>
      </c>
      <c r="GA49" s="500">
        <f t="shared" si="312"/>
        <v>17.5</v>
      </c>
      <c r="GC49" s="161">
        <f t="shared" si="313"/>
        <v>15.69066559142683</v>
      </c>
      <c r="GE49" s="259">
        <f t="shared" si="314"/>
        <v>0</v>
      </c>
      <c r="GG49" s="305">
        <f t="shared" si="315"/>
        <v>2334.1781978570243</v>
      </c>
      <c r="GH49" s="305">
        <f t="shared" si="316"/>
        <v>13577.72814281667</v>
      </c>
      <c r="GI49" s="305">
        <f t="shared" si="317"/>
        <v>1167.0890989285122</v>
      </c>
      <c r="GJ49" s="305">
        <f t="shared" si="318"/>
        <v>1167.0890989285119</v>
      </c>
      <c r="GK49" s="305">
        <f t="shared" si="319"/>
        <v>7.2478490515896785E-3</v>
      </c>
      <c r="GL49" s="305">
        <f t="shared" si="15"/>
        <v>7.2478490515896785E-3</v>
      </c>
      <c r="GM49" s="305">
        <f t="shared" si="320"/>
        <v>38.490692183503647</v>
      </c>
      <c r="GN49" s="305">
        <f t="shared" si="321"/>
        <v>71.109241839963531</v>
      </c>
      <c r="GO49" s="306">
        <f t="shared" si="16"/>
        <v>8.5956139838163081E-2</v>
      </c>
      <c r="GQ49" s="305">
        <f t="shared" si="322"/>
        <v>3557.0118570174286</v>
      </c>
      <c r="GR49" s="305">
        <f t="shared" si="323"/>
        <v>2415.0438853828359</v>
      </c>
      <c r="GS49" s="305">
        <f t="shared" si="324"/>
        <v>1778.5059285087143</v>
      </c>
      <c r="GT49" s="305">
        <f t="shared" si="325"/>
        <v>1778.5059285087143</v>
      </c>
      <c r="GU49" s="305">
        <f t="shared" si="326"/>
        <v>1778.5059285087143</v>
      </c>
      <c r="GV49" s="307">
        <f t="shared" si="327"/>
        <v>1.1112703645172665E-2</v>
      </c>
      <c r="GW49" s="307">
        <f t="shared" si="328"/>
        <v>1.1112703645172665E-2</v>
      </c>
      <c r="GX49" s="305">
        <f t="shared" si="329"/>
        <v>1.1112703645172665E-2</v>
      </c>
      <c r="GY49" s="305">
        <f t="shared" si="330"/>
        <v>55.477839519976428</v>
      </c>
      <c r="GZ49" s="305">
        <f t="shared" si="331"/>
        <v>55.477839519976428</v>
      </c>
      <c r="HA49" s="305">
        <f t="shared" si="332"/>
        <v>48.863750637307454</v>
      </c>
      <c r="HB49" s="305">
        <f t="shared" si="17"/>
        <v>19.415087041495514</v>
      </c>
      <c r="HC49" s="305">
        <f t="shared" si="18"/>
        <v>19.415087041495514</v>
      </c>
      <c r="HD49" s="529">
        <f t="shared" si="333"/>
        <v>1532.5657350229121</v>
      </c>
      <c r="HE49" s="57">
        <f t="shared" si="7"/>
        <v>706.45038299999999</v>
      </c>
      <c r="HF49" s="57">
        <f t="shared" si="334"/>
        <v>1532.5657350229121</v>
      </c>
      <c r="HG49" s="525">
        <f t="shared" si="9"/>
        <v>17.5</v>
      </c>
      <c r="HH49" s="57">
        <f t="shared" si="10"/>
        <v>17.5</v>
      </c>
      <c r="HI49" s="503">
        <f t="shared" si="75"/>
        <v>1532.5657350229121</v>
      </c>
      <c r="HJ49" s="2">
        <f t="shared" si="90"/>
        <v>1</v>
      </c>
      <c r="HK49" s="503">
        <f t="shared" si="76"/>
        <v>1532.5657350229121</v>
      </c>
      <c r="HL49" s="344">
        <f t="shared" si="335"/>
        <v>0.5</v>
      </c>
      <c r="HM49" s="241">
        <f t="shared" si="336"/>
        <v>1.175</v>
      </c>
      <c r="HN49" s="495">
        <f t="shared" si="337"/>
        <v>1.4700000000000002</v>
      </c>
      <c r="HO49" s="230">
        <f t="shared" ref="HO49:HO54" si="355">HS49/HQ49</f>
        <v>0.50178042494006392</v>
      </c>
      <c r="HP49" s="226">
        <f t="shared" si="338"/>
        <v>706.45038299999999</v>
      </c>
      <c r="HQ49" s="226">
        <f t="shared" si="80"/>
        <v>1407.8874900000001</v>
      </c>
      <c r="HR49" s="222">
        <f>HP49/HQ49</f>
        <v>0.50178042494006392</v>
      </c>
      <c r="HS49" s="251">
        <f t="shared" si="11"/>
        <v>706.45038299999999</v>
      </c>
      <c r="HT49" s="241">
        <f t="shared" si="339"/>
        <v>0</v>
      </c>
      <c r="HU49" s="242">
        <f t="shared" ref="HU49:HU54" si="356">HQ49*(1-HR49)</f>
        <v>701.43710700000008</v>
      </c>
      <c r="HV49" s="248">
        <f t="shared" ref="HV49:HV54" si="357">IF((HT49/HU49)&gt;1,1,HT49/HU49)</f>
        <v>0</v>
      </c>
      <c r="HW49" s="224">
        <f t="shared" si="12"/>
        <v>17.5</v>
      </c>
      <c r="HX49" s="219">
        <f t="shared" si="340"/>
        <v>21.150000000000002</v>
      </c>
      <c r="HY49" s="224">
        <f t="shared" si="341"/>
        <v>3.6500000000000021</v>
      </c>
      <c r="HZ49" s="224">
        <f t="shared" si="342"/>
        <v>23.520000000000003</v>
      </c>
      <c r="IA49" s="224">
        <f t="shared" si="343"/>
        <v>6.0200000000000031</v>
      </c>
      <c r="IB49" s="224">
        <f t="shared" si="344"/>
        <v>17.5</v>
      </c>
      <c r="IC49" s="500">
        <f t="shared" si="345"/>
        <v>17.5</v>
      </c>
      <c r="IE49" s="161">
        <f t="shared" si="346"/>
        <v>15.69066559142683</v>
      </c>
      <c r="IG49" s="259">
        <f t="shared" si="347"/>
        <v>0.16579836172705312</v>
      </c>
      <c r="II49" s="305">
        <f t="shared" si="348"/>
        <v>2334.1781978570243</v>
      </c>
      <c r="IJ49" s="305">
        <f t="shared" si="349"/>
        <v>13577.72814281667</v>
      </c>
    </row>
    <row r="50" spans="1:244" ht="15" customHeight="1" x14ac:dyDescent="0.25">
      <c r="B50" s="195">
        <f>IF($AL$5=1,$C50/10,IF($AL$5=2,$C50/10,IF($AL$5=3,0.25,IF($AL$5=4,$C50/10,))))</f>
        <v>0.5</v>
      </c>
      <c r="C50" s="336">
        <v>5</v>
      </c>
      <c r="D50" s="329">
        <f t="shared" si="350"/>
        <v>-78.284869029331787</v>
      </c>
      <c r="E50" s="172">
        <f t="shared" si="268"/>
        <v>-7</v>
      </c>
      <c r="F50" s="330" t="e">
        <f t="shared" si="269"/>
        <v>#NUM!</v>
      </c>
      <c r="G50" s="329">
        <f t="shared" si="270"/>
        <v>-32.841902222421133</v>
      </c>
      <c r="H50" s="32">
        <f t="shared" si="271"/>
        <v>-32.841902222421133</v>
      </c>
      <c r="I50" s="30">
        <f>IF(Geg_dP&lt;AB50,ROUND(((IF('Briza 22 &amp; 26'!$M$4="High Perform. 208/230V (US/EU)",cal!HK50,H50)/Watts)/((Tr_cool-Tv_cool)*1.163))*FlowH2O,IF(UnitsNo=1,0,IF(UnitsNo=2,2))),"")</f>
        <v>-14</v>
      </c>
      <c r="J50" s="330" t="e">
        <f t="shared" si="272"/>
        <v>#NUM!</v>
      </c>
      <c r="K50" s="333">
        <f t="shared" si="273"/>
        <v>0</v>
      </c>
      <c r="L50" s="297">
        <f>IF(Geg_dP&lt;$AB50,0,"")</f>
        <v>0</v>
      </c>
      <c r="M50" s="198">
        <f t="shared" si="274"/>
        <v>0</v>
      </c>
      <c r="N50" s="197">
        <f t="shared" si="275"/>
        <v>0</v>
      </c>
      <c r="O50" s="480">
        <f t="shared" si="276"/>
        <v>0</v>
      </c>
      <c r="P50" s="198" t="e">
        <f t="shared" si="277"/>
        <v>#DIV/0!</v>
      </c>
      <c r="Q50" s="297" t="e">
        <f t="shared" si="278"/>
        <v>#DIV/0!</v>
      </c>
      <c r="R50" s="509" t="e">
        <f t="shared" si="279"/>
        <v>#DIV/0!</v>
      </c>
      <c r="S50" s="36" t="e">
        <f t="shared" si="280"/>
        <v>#DIV/0!</v>
      </c>
      <c r="T50" s="300" t="e">
        <f t="shared" si="281"/>
        <v>#DIV/0!</v>
      </c>
      <c r="U50" s="416">
        <f t="shared" si="282"/>
        <v>0</v>
      </c>
      <c r="V50" s="483" t="e">
        <f t="shared" si="283"/>
        <v>#DIV/0!</v>
      </c>
      <c r="W50" s="513" t="e">
        <f t="shared" si="284"/>
        <v>#DIV/0!</v>
      </c>
      <c r="X50" s="56">
        <f t="shared" si="1"/>
        <v>0.98023000000000005</v>
      </c>
      <c r="Y50" s="56">
        <f t="shared" si="166"/>
        <v>1.2901100000000001</v>
      </c>
      <c r="Z50" s="56">
        <f t="shared" si="167"/>
        <v>1.0895999999999999</v>
      </c>
      <c r="AA50" s="56">
        <f t="shared" si="13"/>
        <v>0.98023000000000005</v>
      </c>
      <c r="AB50" s="56">
        <f t="shared" si="14"/>
        <v>41.81</v>
      </c>
      <c r="AC50" s="95">
        <v>0.98023000000000005</v>
      </c>
      <c r="AD50" s="95">
        <v>1.2901100000000001</v>
      </c>
      <c r="AE50" s="95">
        <v>1.0895999999999999</v>
      </c>
      <c r="AF50" s="96">
        <f>AF49+((AF51-AF49)/2)</f>
        <v>30</v>
      </c>
      <c r="AG50" s="95">
        <v>0.98023000000000005</v>
      </c>
      <c r="AH50" s="95">
        <v>1.2901100000000001</v>
      </c>
      <c r="AI50" s="95">
        <v>1.0895999999999999</v>
      </c>
      <c r="AJ50" s="486">
        <f>AJ49+((AJ51-AJ49)/2)</f>
        <v>43</v>
      </c>
      <c r="AK50" s="487">
        <v>0.98023000000000005</v>
      </c>
      <c r="AL50" s="487">
        <v>1.2901100000000001</v>
      </c>
      <c r="AM50" s="487">
        <v>1.0895999999999999</v>
      </c>
      <c r="AN50" s="486">
        <f>AN49+((AN51-AN49)/2)</f>
        <v>41.81</v>
      </c>
      <c r="AO50" s="487">
        <v>1.0115144976993358</v>
      </c>
      <c r="AP50" s="487">
        <v>1.35606862651545</v>
      </c>
      <c r="AQ50" s="487">
        <v>1.0900000000000001</v>
      </c>
      <c r="AR50" s="486">
        <f>AR49+((AR51-AR49)/2)</f>
        <v>120.87</v>
      </c>
      <c r="AS50" s="487">
        <v>0.98023000000000005</v>
      </c>
      <c r="AT50" s="487">
        <v>1.2901100000000001</v>
      </c>
      <c r="AU50" s="487">
        <v>1.0895999999999999</v>
      </c>
      <c r="AV50" s="486">
        <f t="shared" si="179"/>
        <v>30</v>
      </c>
      <c r="AW50" s="487">
        <v>0.98023000000000005</v>
      </c>
      <c r="AX50" s="487">
        <v>1.2901100000000001</v>
      </c>
      <c r="AY50" s="487">
        <v>1.0895999999999999</v>
      </c>
      <c r="AZ50" s="486">
        <f t="shared" si="180"/>
        <v>43</v>
      </c>
      <c r="BA50" s="95">
        <v>0.98022771993139868</v>
      </c>
      <c r="BB50" s="95">
        <v>1.2901116929825902</v>
      </c>
      <c r="BC50" s="95">
        <v>1.091482988399473</v>
      </c>
      <c r="BD50" s="96">
        <f t="shared" si="181"/>
        <v>41.81</v>
      </c>
      <c r="BE50" s="95">
        <v>0.98349171277865222</v>
      </c>
      <c r="BF50" s="95">
        <v>0.91323972525038233</v>
      </c>
      <c r="BG50" s="95">
        <v>1.0947469812467265</v>
      </c>
      <c r="BH50" s="96">
        <f t="shared" si="182"/>
        <v>120.87</v>
      </c>
      <c r="BJ50" s="182"/>
      <c r="BK50" s="252"/>
      <c r="BL50" s="253"/>
      <c r="BM50" s="253"/>
      <c r="BN50" s="252"/>
      <c r="BO50" s="253"/>
      <c r="BP50" s="254"/>
      <c r="BQ50" s="252"/>
      <c r="BR50" s="253"/>
      <c r="BS50" s="254"/>
      <c r="BT50" s="252"/>
      <c r="BU50" s="253"/>
      <c r="BV50" s="254"/>
      <c r="BW50" s="252"/>
      <c r="BX50" s="253"/>
      <c r="BY50" s="254"/>
      <c r="BZ50" s="131">
        <f t="shared" si="286"/>
        <v>0</v>
      </c>
      <c r="CA50" s="132">
        <f t="shared" si="286"/>
        <v>0</v>
      </c>
      <c r="CB50" s="132">
        <f t="shared" si="287"/>
        <v>0</v>
      </c>
      <c r="CC50" s="132">
        <f t="shared" si="288"/>
        <v>0</v>
      </c>
      <c r="CD50" s="132">
        <f t="shared" si="289"/>
        <v>0</v>
      </c>
      <c r="CE50" s="133">
        <f t="shared" si="290"/>
        <v>0</v>
      </c>
      <c r="CF50" s="131">
        <f t="shared" si="291"/>
        <v>0</v>
      </c>
      <c r="CG50" s="132">
        <f t="shared" si="292"/>
        <v>0</v>
      </c>
      <c r="CH50" s="132">
        <f t="shared" si="293"/>
        <v>0</v>
      </c>
      <c r="CI50" s="132">
        <f t="shared" si="294"/>
        <v>0</v>
      </c>
      <c r="CJ50" s="132">
        <f t="shared" si="295"/>
        <v>0</v>
      </c>
      <c r="CK50" s="131">
        <f t="shared" si="296"/>
        <v>0</v>
      </c>
      <c r="CL50" s="132">
        <f t="shared" si="297"/>
        <v>0</v>
      </c>
      <c r="CM50" s="133">
        <f t="shared" si="298"/>
        <v>0</v>
      </c>
      <c r="CN50" s="384"/>
      <c r="CO50" s="374"/>
      <c r="CP50" s="380"/>
      <c r="CQ50" s="380"/>
      <c r="CR50" s="380"/>
      <c r="CS50" s="381"/>
      <c r="CT50" s="384"/>
      <c r="CU50" s="374"/>
      <c r="CV50" s="380"/>
      <c r="CW50" s="380"/>
      <c r="CX50" s="381"/>
      <c r="CY50" s="380"/>
      <c r="CZ50" s="380"/>
      <c r="DA50" s="427"/>
      <c r="DB50" s="384"/>
      <c r="DC50" s="380"/>
      <c r="DD50" s="380"/>
      <c r="DE50" s="380"/>
      <c r="DF50" s="380"/>
      <c r="DG50" s="381"/>
      <c r="DH50" s="384"/>
      <c r="DI50" s="380"/>
      <c r="DJ50" s="380"/>
      <c r="DK50" s="380"/>
      <c r="DL50" s="381"/>
      <c r="DM50" s="380"/>
      <c r="DN50" s="380"/>
      <c r="DO50" s="427"/>
      <c r="DP50" s="426"/>
      <c r="DQ50" s="380"/>
      <c r="DR50" s="380"/>
      <c r="DS50" s="380"/>
      <c r="DT50" s="380"/>
      <c r="DU50" s="381"/>
      <c r="DV50" s="375"/>
      <c r="DW50" s="382"/>
      <c r="DX50" s="382"/>
      <c r="DY50" s="382"/>
      <c r="DZ50" s="383"/>
      <c r="EA50" s="380"/>
      <c r="EB50" s="380"/>
      <c r="EC50" s="427"/>
      <c r="ED50" s="429"/>
      <c r="EE50" s="393"/>
      <c r="EF50" s="113">
        <v>-2.54007374E-5</v>
      </c>
      <c r="EG50" s="113">
        <v>-5.9402716600000002E-2</v>
      </c>
      <c r="EH50" s="113">
        <v>-8.6268395499999997</v>
      </c>
      <c r="EI50" s="116">
        <v>1729.51494</v>
      </c>
      <c r="EJ50" s="378"/>
      <c r="EK50" s="115">
        <v>-1.4511666000000001E-8</v>
      </c>
      <c r="EL50" s="113">
        <v>4.6935730000000001E-5</v>
      </c>
      <c r="EM50" s="113">
        <v>7.8468094199999998E-3</v>
      </c>
      <c r="EN50" s="116">
        <v>59.0430876</v>
      </c>
      <c r="EO50" s="395">
        <v>-2.0494983399999999E-5</v>
      </c>
      <c r="EP50" s="395">
        <v>-3.1896154599999997E-2</v>
      </c>
      <c r="EQ50" s="433">
        <v>1429.34212</v>
      </c>
      <c r="ER50" s="444"/>
      <c r="ES50" s="441"/>
      <c r="ET50" s="443"/>
      <c r="EU50" s="441"/>
      <c r="EV50" s="443"/>
      <c r="EW50" s="441"/>
      <c r="EX50" s="443"/>
      <c r="EY50" s="442"/>
      <c r="EZ50" s="530">
        <f t="shared" si="299"/>
        <v>17</v>
      </c>
      <c r="FA50" s="143">
        <f>((FA51-FA49)/2)+FA49</f>
        <v>17</v>
      </c>
      <c r="FB50" s="143">
        <f t="shared" si="300"/>
        <v>17</v>
      </c>
      <c r="FC50" s="143">
        <f t="shared" si="301"/>
        <v>17</v>
      </c>
      <c r="FD50" s="143">
        <f t="shared" si="302"/>
        <v>17</v>
      </c>
      <c r="FE50" s="143">
        <f>((FE51-FE49)/2)+FE49</f>
        <v>18.2</v>
      </c>
      <c r="FF50" s="497">
        <f t="shared" si="303"/>
        <v>17</v>
      </c>
      <c r="FG50" s="497">
        <f>((FG51-FG49)/2)+FG49</f>
        <v>18.375</v>
      </c>
      <c r="FH50" s="497">
        <f t="shared" si="304"/>
        <v>17</v>
      </c>
      <c r="FJ50" s="344">
        <f t="shared" si="305"/>
        <v>0</v>
      </c>
      <c r="FK50" s="241">
        <f t="shared" si="306"/>
        <v>1.175</v>
      </c>
      <c r="FL50" s="495">
        <f t="shared" si="307"/>
        <v>1.4700000000000002</v>
      </c>
      <c r="FM50" s="230">
        <f t="shared" si="352"/>
        <v>0</v>
      </c>
      <c r="FN50" s="226">
        <f>((FN51-FN49)/2)+FN49</f>
        <v>848.22596249999992</v>
      </c>
      <c r="FO50" s="226">
        <f>((FO51-FO49)/2)+FO49</f>
        <v>1740.9035350000001</v>
      </c>
      <c r="FP50" s="222">
        <f>FN50/FO50</f>
        <v>0.48723317831622409</v>
      </c>
      <c r="FQ50" s="238">
        <f t="shared" si="308"/>
        <v>0</v>
      </c>
      <c r="FR50" s="241">
        <f t="shared" si="309"/>
        <v>0</v>
      </c>
      <c r="FS50" s="242">
        <f t="shared" si="353"/>
        <v>892.67757250000034</v>
      </c>
      <c r="FT50" s="248">
        <f t="shared" si="354"/>
        <v>0</v>
      </c>
      <c r="FU50" s="224">
        <f t="shared" si="258"/>
        <v>17</v>
      </c>
      <c r="FV50" s="219">
        <f t="shared" si="310"/>
        <v>21.150000000000002</v>
      </c>
      <c r="FW50" s="224">
        <f t="shared" si="259"/>
        <v>4.1500000000000021</v>
      </c>
      <c r="FX50" s="224">
        <f t="shared" si="311"/>
        <v>23.520000000000003</v>
      </c>
      <c r="FY50" s="224">
        <f t="shared" si="260"/>
        <v>6.5200000000000031</v>
      </c>
      <c r="FZ50" s="224">
        <f t="shared" si="261"/>
        <v>17</v>
      </c>
      <c r="GA50" s="500">
        <f t="shared" si="312"/>
        <v>17</v>
      </c>
      <c r="GC50" s="161">
        <f t="shared" si="313"/>
        <v>15.69066559142683</v>
      </c>
      <c r="GE50" s="259">
        <f t="shared" si="314"/>
        <v>0</v>
      </c>
      <c r="GG50" s="305">
        <f t="shared" si="315"/>
        <v>2334.1781978570243</v>
      </c>
      <c r="GH50" s="305" t="e">
        <f t="shared" si="316"/>
        <v>#DIV/0!</v>
      </c>
      <c r="GI50" s="305">
        <f t="shared" si="317"/>
        <v>1167.0890989285122</v>
      </c>
      <c r="GJ50" s="305">
        <f t="shared" si="318"/>
        <v>1167.0890989285119</v>
      </c>
      <c r="GK50" s="305">
        <f t="shared" si="319"/>
        <v>7.2478490515896785E-3</v>
      </c>
      <c r="GL50" s="305">
        <f t="shared" si="15"/>
        <v>7.2478490515896785E-3</v>
      </c>
      <c r="GM50" s="305">
        <f t="shared" si="320"/>
        <v>38.490692183503647</v>
      </c>
      <c r="GN50" s="305" t="e">
        <f t="shared" si="321"/>
        <v>#DIV/0!</v>
      </c>
      <c r="GO50" s="306" t="e">
        <f t="shared" si="16"/>
        <v>#DIV/0!</v>
      </c>
      <c r="GQ50" s="305">
        <f t="shared" si="322"/>
        <v>3557.0118570174286</v>
      </c>
      <c r="GR50" s="305" t="e">
        <f t="shared" si="323"/>
        <v>#DIV/0!</v>
      </c>
      <c r="GS50" s="305">
        <f t="shared" si="324"/>
        <v>1778.5059285087143</v>
      </c>
      <c r="GT50" s="305">
        <f t="shared" si="325"/>
        <v>1778.5059285087143</v>
      </c>
      <c r="GU50" s="305" t="e">
        <f t="shared" si="326"/>
        <v>#DIV/0!</v>
      </c>
      <c r="GV50" s="307">
        <f t="shared" si="327"/>
        <v>1.1112703645172665E-2</v>
      </c>
      <c r="GW50" s="307">
        <f t="shared" si="328"/>
        <v>1.1112703645172665E-2</v>
      </c>
      <c r="GX50" s="305" t="e">
        <f t="shared" si="329"/>
        <v>#DIV/0!</v>
      </c>
      <c r="GY50" s="305">
        <f t="shared" si="330"/>
        <v>55.477839519976428</v>
      </c>
      <c r="GZ50" s="305" t="e">
        <f t="shared" si="331"/>
        <v>#DIV/0!</v>
      </c>
      <c r="HA50" s="305" t="e">
        <f t="shared" si="332"/>
        <v>#DIV/0!</v>
      </c>
      <c r="HB50" s="305">
        <f t="shared" si="17"/>
        <v>19.415087041495514</v>
      </c>
      <c r="HC50" s="305" t="e">
        <f t="shared" si="18"/>
        <v>#DIV/0!</v>
      </c>
      <c r="HD50" s="529">
        <f t="shared" si="333"/>
        <v>-32.841902222421133</v>
      </c>
      <c r="HE50" s="57">
        <f t="shared" si="7"/>
        <v>0</v>
      </c>
      <c r="HF50" s="57">
        <f t="shared" si="334"/>
        <v>-32.841902222421133</v>
      </c>
      <c r="HG50" s="525">
        <f t="shared" si="9"/>
        <v>17</v>
      </c>
      <c r="HH50" s="57">
        <f t="shared" si="10"/>
        <v>17</v>
      </c>
      <c r="HI50" s="503">
        <f>IF(Geg_dP&lt;$AB50,((HF50/Watts)/(IF((237.3*LN((RH*EXP(17.27*(Tl_cool/(Tl_cool+237.3))))))/(17.27-LN((RH*EXP(17.27*(Tl_cool/(Tl_cool+237.3))))))&lt;HH50,1,IF(1/(1+((2258*((0.622/((101325/(1*611*EXP(17.27*(HH50/(HH50+237.3))))))-1)*1000-(0.622/((101325/(RH*611*EXP(17.27*(Tl_cool/(Tl_cool+237.3))))))-1)*1000))/(1005*(Tavg_cold-Tl_cool))))&gt;1,1,1/(1+((2258*((0.622/((101325/(1*611*EXP(17.27*(HH50/(HH50+237.3))))))-1)*1000-(0.622/((101325/(RH*611*EXP(17.27*(Tl_cool/(Tl_cool+237.3))))))-1)*1000))/(1005*(Tavg_cold-Tl_cool))))))))*Watts,"")</f>
        <v>-32.841902222421133</v>
      </c>
      <c r="HJ50" s="2">
        <f t="shared" si="90"/>
        <v>1</v>
      </c>
      <c r="HK50" s="503">
        <f t="shared" si="76"/>
        <v>-32.841902222421133</v>
      </c>
      <c r="HL50" s="344">
        <f t="shared" si="335"/>
        <v>0</v>
      </c>
      <c r="HM50" s="241">
        <f t="shared" si="336"/>
        <v>1.175</v>
      </c>
      <c r="HN50" s="495">
        <f t="shared" si="337"/>
        <v>1.4700000000000002</v>
      </c>
      <c r="HO50" s="230">
        <f t="shared" si="355"/>
        <v>0</v>
      </c>
      <c r="HP50" s="226">
        <f>((HP51-HP49)/2)+HP49</f>
        <v>848.22596249999992</v>
      </c>
      <c r="HQ50" s="226">
        <f>((HQ51-HQ49)/2)+HQ49</f>
        <v>1740.9035350000001</v>
      </c>
      <c r="HR50" s="222">
        <f>HP50/HQ50</f>
        <v>0.48723317831622409</v>
      </c>
      <c r="HS50" s="251">
        <f t="shared" si="11"/>
        <v>0</v>
      </c>
      <c r="HT50" s="241">
        <f t="shared" si="339"/>
        <v>0</v>
      </c>
      <c r="HU50" s="242">
        <f t="shared" si="356"/>
        <v>892.67757250000034</v>
      </c>
      <c r="HV50" s="248">
        <f t="shared" si="357"/>
        <v>0</v>
      </c>
      <c r="HW50" s="224">
        <f t="shared" si="12"/>
        <v>17</v>
      </c>
      <c r="HX50" s="219">
        <f t="shared" si="340"/>
        <v>21.150000000000002</v>
      </c>
      <c r="HY50" s="224">
        <f t="shared" si="341"/>
        <v>4.1500000000000021</v>
      </c>
      <c r="HZ50" s="224">
        <f t="shared" si="342"/>
        <v>23.520000000000003</v>
      </c>
      <c r="IA50" s="224">
        <f t="shared" si="343"/>
        <v>6.5200000000000031</v>
      </c>
      <c r="IB50" s="224">
        <f t="shared" si="344"/>
        <v>17</v>
      </c>
      <c r="IC50" s="500">
        <f t="shared" si="345"/>
        <v>17</v>
      </c>
      <c r="IE50" s="161">
        <f t="shared" si="346"/>
        <v>15.69066559142683</v>
      </c>
      <c r="IG50" s="259">
        <f t="shared" si="347"/>
        <v>0.16579836172705312</v>
      </c>
      <c r="II50" s="305">
        <f t="shared" si="348"/>
        <v>2334.1781978570243</v>
      </c>
      <c r="IJ50" s="305" t="e">
        <f t="shared" si="349"/>
        <v>#DIV/0!</v>
      </c>
    </row>
    <row r="51" spans="1:244" ht="15" customHeight="1" x14ac:dyDescent="0.25">
      <c r="B51" s="195">
        <f>IF($AL$5=1,$C51/10,IF($AL$5=2,$C51/10,IF($AL$5=3,0.5,IF($AL$5=4,$C51/10,))))</f>
        <v>0.6</v>
      </c>
      <c r="C51" s="336">
        <v>6</v>
      </c>
      <c r="D51" s="329">
        <f t="shared" si="350"/>
        <v>10638.371355643016</v>
      </c>
      <c r="E51" s="30">
        <f t="shared" si="268"/>
        <v>915</v>
      </c>
      <c r="F51" s="330">
        <f t="shared" si="269"/>
        <v>9.4816287579808023</v>
      </c>
      <c r="G51" s="329">
        <f t="shared" si="270"/>
        <v>2127.0413856362497</v>
      </c>
      <c r="H51" s="32">
        <f t="shared" si="271"/>
        <v>2127.0413856362497</v>
      </c>
      <c r="I51" s="30">
        <f>IF(Geg_dP&lt;AB51,ROUND(((IF('Briza 22 &amp; 26'!$M$4="High Perform. 208/230V (US/EU)",cal!HK51,H51)/Watts)/((Tr_cool-Tv_cool)*1.163))*FlowH2O,IF(UnitsNo=1,0,IF(UnitsNo=2,2))),"")</f>
        <v>914</v>
      </c>
      <c r="J51" s="330">
        <f t="shared" si="272"/>
        <v>9.4585006841217432</v>
      </c>
      <c r="K51" s="333">
        <f t="shared" si="273"/>
        <v>41</v>
      </c>
      <c r="L51" s="297">
        <f>IF(Geg_dP&lt;$AB51,IF(CalcNo="12",$ET51,IF(CalcNo="22",$ET51,IF(CalcNo="13",$EU51,IF(CalcNo="23",$EU51,IF(CalcNo="11",$ER51,IF(CalcNo="21",$ER51,IF(CalcNo="14",$ES51,IF(CalcNo="24",$ES51,IF(CalcNo="32",$EX51,IF(CalcNo="42",$EX51,IF(CalcNo="33",$EY51,IF(CalcNo="43",$EY51,IF(CalcNo="31",$EV51,IF(CalcNo="41",$EV51,IF(CalcNo="34",$EW51,IF(CalcNo="44",$EW51,)))))))))))))))),"")</f>
        <v>49</v>
      </c>
      <c r="M51" s="198">
        <f t="shared" si="274"/>
        <v>37.073992288499525</v>
      </c>
      <c r="N51" s="197">
        <f t="shared" si="275"/>
        <v>990.00154199999997</v>
      </c>
      <c r="O51" s="480">
        <f t="shared" si="276"/>
        <v>0.80645286901270763</v>
      </c>
      <c r="P51" s="198">
        <f t="shared" si="277"/>
        <v>51.542423857001864</v>
      </c>
      <c r="Q51" s="297">
        <f t="shared" si="278"/>
        <v>23.672900804960769</v>
      </c>
      <c r="R51" s="509">
        <f t="shared" si="279"/>
        <v>20.614158982639005</v>
      </c>
      <c r="S51" s="36">
        <f t="shared" si="280"/>
        <v>17.349536750059411</v>
      </c>
      <c r="T51" s="300">
        <f t="shared" si="281"/>
        <v>0.73362292762977366</v>
      </c>
      <c r="U51" s="416">
        <f t="shared" si="282"/>
        <v>835.34840467560571</v>
      </c>
      <c r="V51" s="483">
        <f t="shared" si="283"/>
        <v>0.13481430742922851</v>
      </c>
      <c r="W51" s="513">
        <f t="shared" si="284"/>
        <v>2.1485233056700124</v>
      </c>
      <c r="X51" s="56">
        <f t="shared" si="1"/>
        <v>0.98023000000000005</v>
      </c>
      <c r="Y51" s="56">
        <f t="shared" si="166"/>
        <v>1.2901100000000001</v>
      </c>
      <c r="Z51" s="56">
        <f t="shared" si="167"/>
        <v>1.0895999999999999</v>
      </c>
      <c r="AA51" s="56">
        <f t="shared" si="13"/>
        <v>0.98023000000000005</v>
      </c>
      <c r="AB51" s="56">
        <f t="shared" si="14"/>
        <v>55.24</v>
      </c>
      <c r="AC51" s="95">
        <v>0.98023000000000005</v>
      </c>
      <c r="AD51" s="95">
        <v>1.2901100000000001</v>
      </c>
      <c r="AE51" s="95">
        <v>1.0895999999999999</v>
      </c>
      <c r="AF51" s="96">
        <v>40</v>
      </c>
      <c r="AG51" s="95">
        <v>0.98023000000000005</v>
      </c>
      <c r="AH51" s="95">
        <v>1.2901100000000001</v>
      </c>
      <c r="AI51" s="95">
        <v>1.0895999999999999</v>
      </c>
      <c r="AJ51" s="486">
        <v>59</v>
      </c>
      <c r="AK51" s="487">
        <v>0.98023000000000005</v>
      </c>
      <c r="AL51" s="487">
        <v>1.2901100000000001</v>
      </c>
      <c r="AM51" s="487">
        <v>1.0895999999999999</v>
      </c>
      <c r="AN51" s="486">
        <v>55.24</v>
      </c>
      <c r="AO51" s="487">
        <v>1.0115144976993358</v>
      </c>
      <c r="AP51" s="487">
        <v>1.35606862651545</v>
      </c>
      <c r="AQ51" s="487">
        <v>1.0900000000000001</v>
      </c>
      <c r="AR51" s="486">
        <v>164.02</v>
      </c>
      <c r="AS51" s="487">
        <v>0.98023000000000005</v>
      </c>
      <c r="AT51" s="487">
        <v>1.2901100000000001</v>
      </c>
      <c r="AU51" s="487">
        <v>1.0895999999999999</v>
      </c>
      <c r="AV51" s="486">
        <f t="shared" si="179"/>
        <v>40</v>
      </c>
      <c r="AW51" s="487">
        <v>0.98023000000000005</v>
      </c>
      <c r="AX51" s="487">
        <v>1.2901100000000001</v>
      </c>
      <c r="AY51" s="487">
        <v>1.0895999999999999</v>
      </c>
      <c r="AZ51" s="486">
        <f t="shared" si="180"/>
        <v>59</v>
      </c>
      <c r="BA51" s="95">
        <v>0.98022771993139868</v>
      </c>
      <c r="BB51" s="95">
        <v>1.2901116929825902</v>
      </c>
      <c r="BC51" s="95">
        <v>1.091482988399473</v>
      </c>
      <c r="BD51" s="96">
        <f t="shared" si="181"/>
        <v>55.24</v>
      </c>
      <c r="BE51" s="95">
        <v>0.98349171277865222</v>
      </c>
      <c r="BF51" s="95">
        <v>0.91323972525038233</v>
      </c>
      <c r="BG51" s="95">
        <v>1.0947469812467265</v>
      </c>
      <c r="BH51" s="96">
        <f t="shared" si="182"/>
        <v>164.02</v>
      </c>
      <c r="BJ51" s="182"/>
      <c r="BK51" s="82">
        <f>IF($BK$17="11",BN51,IF($BK$17="21",BQ51,IF($BK$17="12",BN51,IF($BK$17="22",BQ51,IF($BK$17="13",BN51,IF($BK$17="23",BQ51,IF($BK$17="14",BN51,IF($BK$17="24",BQ51,IF($BK$17="31",BT51,IF($BK$17="41",BW51,IF($BK$17="32",BT51,IF($BK$17="42",BW51,IF($BK$17="33",BT51,IF($BK$17="43",BW51,IF($BK$17="34",BT51,IF($BK$17="44",BW51,))))))))))))))))</f>
        <v>-3.9355859500000002E-4</v>
      </c>
      <c r="BL51" s="83">
        <f>IF($BK$17="11",BO51,IF($BK$17="21",BR51,IF($BK$17="12",BO51,IF($BK$17="22",BR51,IF($BK$17="13",BO51,IF($BK$17="23",BR51,IF($BK$17="14",BO51,IF($BK$17="24",BR51,IF($BK$17="31",BU51,IF($BK$17="41",BX51,IF($BK$17="32",BU51,IF($BK$17="42",BX51,IF($BK$17="33",BU51,IF($BK$17="43",BX51,IF($BK$17="34",BU51,IF($BK$17="44",BX51,))))))))))))))))</f>
        <v>-2.4701688100000002E-4</v>
      </c>
      <c r="BM51" s="97"/>
      <c r="BN51" s="103">
        <v>-3.9355859500000002E-4</v>
      </c>
      <c r="BO51" s="104">
        <v>-2.4701688100000002E-4</v>
      </c>
      <c r="BP51" s="97"/>
      <c r="BQ51" s="103">
        <v>-5.9208623900000004E-4</v>
      </c>
      <c r="BR51" s="104">
        <f>BO51</f>
        <v>-2.4701688100000002E-4</v>
      </c>
      <c r="BS51" s="97"/>
      <c r="BT51" s="103">
        <v>-2.3175095200000001E-4</v>
      </c>
      <c r="BU51" s="104">
        <v>-2.4375696800000001E-4</v>
      </c>
      <c r="BV51" s="97"/>
      <c r="BW51" s="103">
        <f>BQ51</f>
        <v>-5.9208623900000004E-4</v>
      </c>
      <c r="BX51" s="104">
        <f>BU51</f>
        <v>-2.4375696800000001E-4</v>
      </c>
      <c r="BY51" s="97"/>
      <c r="BZ51" s="131">
        <f t="shared" si="286"/>
        <v>0</v>
      </c>
      <c r="CA51" s="132">
        <f t="shared" si="286"/>
        <v>3.8149235799999999E-5</v>
      </c>
      <c r="CB51" s="132">
        <f t="shared" si="287"/>
        <v>-4.2371166999999998E-3</v>
      </c>
      <c r="CC51" s="132">
        <f t="shared" si="288"/>
        <v>7.2394345499999999E-2</v>
      </c>
      <c r="CD51" s="132">
        <f t="shared" si="289"/>
        <v>-14.4437581</v>
      </c>
      <c r="CE51" s="133">
        <f t="shared" si="290"/>
        <v>990.00154199999997</v>
      </c>
      <c r="CF51" s="131">
        <f t="shared" si="291"/>
        <v>0</v>
      </c>
      <c r="CG51" s="132">
        <f t="shared" si="292"/>
        <v>-1.9485022199999999E-8</v>
      </c>
      <c r="CH51" s="132">
        <f t="shared" si="293"/>
        <v>3.5902129800000002E-5</v>
      </c>
      <c r="CI51" s="132">
        <f t="shared" si="294"/>
        <v>1.39535354E-3</v>
      </c>
      <c r="CJ51" s="132">
        <f t="shared" si="295"/>
        <v>19.411189</v>
      </c>
      <c r="CK51" s="131">
        <f t="shared" si="296"/>
        <v>-6.1333695200000002E-5</v>
      </c>
      <c r="CL51" s="132">
        <f t="shared" si="297"/>
        <v>-0.14403187000000001</v>
      </c>
      <c r="CM51" s="133">
        <f t="shared" si="298"/>
        <v>1038.0535199999999</v>
      </c>
      <c r="CN51" s="350"/>
      <c r="CO51" s="386"/>
      <c r="CP51" s="113">
        <v>-1.61282032E-2</v>
      </c>
      <c r="CQ51" s="113">
        <v>0.78991395399999997</v>
      </c>
      <c r="CR51" s="113">
        <v>-28.876361599999999</v>
      </c>
      <c r="CS51" s="116">
        <v>873.55261599999994</v>
      </c>
      <c r="CT51" s="350"/>
      <c r="CU51" s="352"/>
      <c r="CV51" s="113">
        <v>-2.9264925199999998E-6</v>
      </c>
      <c r="CW51" s="113">
        <v>2.0510961500000001E-2</v>
      </c>
      <c r="CX51" s="116">
        <v>11.1903621</v>
      </c>
      <c r="CY51" s="113">
        <v>-9.3158170099999995E-5</v>
      </c>
      <c r="CZ51" s="113">
        <v>-4.9702409900000001E-2</v>
      </c>
      <c r="DA51" s="423">
        <v>834.339743</v>
      </c>
      <c r="DB51" s="357"/>
      <c r="DC51" s="113">
        <v>2.97740218E-5</v>
      </c>
      <c r="DD51" s="113">
        <v>-4.2602731299999997E-3</v>
      </c>
      <c r="DE51" s="113">
        <v>0.105094536</v>
      </c>
      <c r="DF51" s="113">
        <v>-16.8982992</v>
      </c>
      <c r="DG51" s="116">
        <v>1172.2478699999999</v>
      </c>
      <c r="DH51" s="357"/>
      <c r="DI51" s="115">
        <v>-1.7783208400000001E-8</v>
      </c>
      <c r="DJ51" s="113">
        <v>3.6506095600000002E-5</v>
      </c>
      <c r="DK51" s="113">
        <v>4.8862573400000001E-3</v>
      </c>
      <c r="DL51" s="116">
        <v>22.585464999999999</v>
      </c>
      <c r="DM51" s="113">
        <v>-1.0877465599999999E-5</v>
      </c>
      <c r="DN51" s="113">
        <v>-0.13174025</v>
      </c>
      <c r="DO51" s="423">
        <v>1065.4056499999999</v>
      </c>
      <c r="DP51" s="422"/>
      <c r="DQ51" s="113">
        <v>3.8149235799999999E-5</v>
      </c>
      <c r="DR51" s="113">
        <v>-4.2371166999999998E-3</v>
      </c>
      <c r="DS51" s="113">
        <v>7.2394345499999999E-2</v>
      </c>
      <c r="DT51" s="113">
        <v>-14.4437581</v>
      </c>
      <c r="DU51" s="116">
        <v>990.00154199999997</v>
      </c>
      <c r="DV51" s="378"/>
      <c r="DW51" s="126">
        <v>-1.9485022199999999E-8</v>
      </c>
      <c r="DX51" s="120">
        <v>3.5902129800000002E-5</v>
      </c>
      <c r="DY51" s="120">
        <v>1.39535354E-3</v>
      </c>
      <c r="DZ51" s="114">
        <v>19.411189</v>
      </c>
      <c r="EA51" s="113">
        <v>-6.1333695200000002E-5</v>
      </c>
      <c r="EB51" s="113">
        <v>-0.14403187000000001</v>
      </c>
      <c r="EC51" s="423">
        <v>1038.0535199999999</v>
      </c>
      <c r="ED51" s="422"/>
      <c r="EE51" s="113">
        <v>3.26002407E-6</v>
      </c>
      <c r="EF51" s="113">
        <v>-1.0877544599999999E-3</v>
      </c>
      <c r="EG51" s="113">
        <v>7.8985871499999999E-2</v>
      </c>
      <c r="EH51" s="113">
        <v>-10.550663999999999</v>
      </c>
      <c r="EI51" s="116">
        <v>2073.9195800000002</v>
      </c>
      <c r="EJ51" s="378"/>
      <c r="EK51" s="115">
        <v>-1.35530917E-8</v>
      </c>
      <c r="EL51" s="113">
        <v>5.21861833E-5</v>
      </c>
      <c r="EM51" s="113">
        <v>1.07171039E-2</v>
      </c>
      <c r="EN51" s="116">
        <v>79.669400199999998</v>
      </c>
      <c r="EO51" s="395">
        <v>-1.8197107200000001E-5</v>
      </c>
      <c r="EP51" s="395">
        <v>-4.5058757599999999E-2</v>
      </c>
      <c r="EQ51" s="433">
        <v>1683.97642</v>
      </c>
      <c r="ER51" s="137">
        <v>49</v>
      </c>
      <c r="ES51" s="365"/>
      <c r="ET51" s="137">
        <v>49</v>
      </c>
      <c r="EU51" s="365"/>
      <c r="EV51" s="137">
        <f>EX51</f>
        <v>51.5</v>
      </c>
      <c r="EW51" s="365"/>
      <c r="EX51" s="137">
        <v>51.5</v>
      </c>
      <c r="EY51" s="365"/>
      <c r="EZ51" s="137">
        <f t="shared" si="299"/>
        <v>17.5</v>
      </c>
      <c r="FA51" s="143">
        <f>Tavg_cold</f>
        <v>17</v>
      </c>
      <c r="FB51" s="143">
        <f t="shared" si="300"/>
        <v>17.5</v>
      </c>
      <c r="FC51" s="143">
        <f t="shared" si="301"/>
        <v>17.5</v>
      </c>
      <c r="FD51" s="143">
        <f t="shared" si="302"/>
        <v>17.5</v>
      </c>
      <c r="FE51" s="143">
        <f t="shared" si="351"/>
        <v>18.2</v>
      </c>
      <c r="FF51" s="497">
        <f t="shared" si="303"/>
        <v>17.5</v>
      </c>
      <c r="FG51" s="497">
        <f>FH51*1.05</f>
        <v>18.375</v>
      </c>
      <c r="FH51" s="497">
        <f t="shared" si="304"/>
        <v>17.5</v>
      </c>
      <c r="FJ51" s="344">
        <f t="shared" si="305"/>
        <v>0.5</v>
      </c>
      <c r="FK51" s="241">
        <f t="shared" si="306"/>
        <v>1.175</v>
      </c>
      <c r="FL51" s="495">
        <f t="shared" si="307"/>
        <v>1.4700000000000002</v>
      </c>
      <c r="FM51" s="230">
        <f t="shared" si="352"/>
        <v>0.47735772956056466</v>
      </c>
      <c r="FN51" s="226">
        <f>DU51</f>
        <v>990.00154199999997</v>
      </c>
      <c r="FO51" s="226">
        <f>EI51</f>
        <v>2073.9195800000002</v>
      </c>
      <c r="FP51" s="222">
        <f>FN51/FO51</f>
        <v>0.47735772956056466</v>
      </c>
      <c r="FQ51" s="238">
        <f t="shared" si="308"/>
        <v>990.00154199999997</v>
      </c>
      <c r="FR51" s="241">
        <f t="shared" si="309"/>
        <v>0</v>
      </c>
      <c r="FS51" s="242">
        <f t="shared" si="353"/>
        <v>1083.9180380000003</v>
      </c>
      <c r="FT51" s="248">
        <f t="shared" si="354"/>
        <v>0</v>
      </c>
      <c r="FU51" s="224">
        <f t="shared" si="258"/>
        <v>17.5</v>
      </c>
      <c r="FV51" s="219">
        <f t="shared" si="310"/>
        <v>21.150000000000002</v>
      </c>
      <c r="FW51" s="224">
        <f t="shared" si="259"/>
        <v>3.6500000000000021</v>
      </c>
      <c r="FX51" s="224">
        <f t="shared" si="311"/>
        <v>23.520000000000003</v>
      </c>
      <c r="FY51" s="224">
        <f t="shared" si="260"/>
        <v>6.0200000000000031</v>
      </c>
      <c r="FZ51" s="224">
        <f t="shared" si="261"/>
        <v>17.5</v>
      </c>
      <c r="GA51" s="500">
        <f t="shared" si="312"/>
        <v>17.5</v>
      </c>
      <c r="GC51" s="161">
        <f t="shared" si="313"/>
        <v>15.69066559142683</v>
      </c>
      <c r="GE51" s="259">
        <f t="shared" si="314"/>
        <v>0</v>
      </c>
      <c r="GG51" s="305">
        <f t="shared" si="315"/>
        <v>2334.1781978570243</v>
      </c>
      <c r="GH51" s="305">
        <f t="shared" si="316"/>
        <v>13260.918941341721</v>
      </c>
      <c r="GI51" s="305">
        <f t="shared" si="317"/>
        <v>1167.0890989285122</v>
      </c>
      <c r="GJ51" s="305">
        <f t="shared" si="318"/>
        <v>1167.0890989285119</v>
      </c>
      <c r="GK51" s="305">
        <f t="shared" si="319"/>
        <v>7.2478490515896785E-3</v>
      </c>
      <c r="GL51" s="305">
        <f t="shared" si="15"/>
        <v>7.2478490515896785E-3</v>
      </c>
      <c r="GM51" s="305">
        <f t="shared" si="320"/>
        <v>38.490692183503647</v>
      </c>
      <c r="GN51" s="305">
        <f t="shared" si="321"/>
        <v>70.618337698975353</v>
      </c>
      <c r="GO51" s="306">
        <f t="shared" si="16"/>
        <v>8.800966992491302E-2</v>
      </c>
      <c r="GQ51" s="305">
        <f t="shared" si="322"/>
        <v>3557.0118570174286</v>
      </c>
      <c r="GR51" s="305">
        <f t="shared" si="323"/>
        <v>2424.2780064887038</v>
      </c>
      <c r="GS51" s="305">
        <f t="shared" si="324"/>
        <v>1778.5059285087143</v>
      </c>
      <c r="GT51" s="305">
        <f t="shared" si="325"/>
        <v>1778.5059285087143</v>
      </c>
      <c r="GU51" s="305">
        <f t="shared" si="326"/>
        <v>1778.5059285087143</v>
      </c>
      <c r="GV51" s="307">
        <f t="shared" si="327"/>
        <v>1.1112703645172665E-2</v>
      </c>
      <c r="GW51" s="307">
        <f t="shared" si="328"/>
        <v>1.1112703645172665E-2</v>
      </c>
      <c r="GX51" s="305">
        <f t="shared" si="329"/>
        <v>1.1112703645172665E-2</v>
      </c>
      <c r="GY51" s="305">
        <f t="shared" si="330"/>
        <v>55.477839519976428</v>
      </c>
      <c r="GZ51" s="305">
        <f t="shared" si="331"/>
        <v>55.477839519976428</v>
      </c>
      <c r="HA51" s="305">
        <f t="shared" si="332"/>
        <v>48.92736669466403</v>
      </c>
      <c r="HB51" s="305">
        <f t="shared" si="17"/>
        <v>19.415087041495514</v>
      </c>
      <c r="HC51" s="305">
        <f t="shared" si="18"/>
        <v>19.415087041495514</v>
      </c>
      <c r="HD51" s="529">
        <f t="shared" si="333"/>
        <v>2127.0413856362497</v>
      </c>
      <c r="HE51" s="57">
        <f t="shared" si="7"/>
        <v>990.00154199999997</v>
      </c>
      <c r="HF51" s="57">
        <f t="shared" si="334"/>
        <v>2127.0413856362497</v>
      </c>
      <c r="HG51" s="525">
        <f t="shared" si="9"/>
        <v>17.5</v>
      </c>
      <c r="HH51" s="57">
        <f t="shared" si="10"/>
        <v>17.5</v>
      </c>
      <c r="HI51" s="503">
        <f t="shared" si="75"/>
        <v>2127.0413856362497</v>
      </c>
      <c r="HJ51" s="2">
        <f t="shared" si="90"/>
        <v>1</v>
      </c>
      <c r="HK51" s="503">
        <f t="shared" si="76"/>
        <v>2127.0413856362497</v>
      </c>
      <c r="HL51" s="344">
        <f t="shared" si="335"/>
        <v>0.5</v>
      </c>
      <c r="HM51" s="241">
        <f t="shared" si="336"/>
        <v>1.175</v>
      </c>
      <c r="HN51" s="495">
        <f t="shared" si="337"/>
        <v>1.4700000000000002</v>
      </c>
      <c r="HO51" s="230">
        <f t="shared" si="355"/>
        <v>0.47735772956056466</v>
      </c>
      <c r="HP51" s="226">
        <f t="shared" si="338"/>
        <v>990.00154199999997</v>
      </c>
      <c r="HQ51" s="226">
        <f t="shared" si="80"/>
        <v>2073.9195800000002</v>
      </c>
      <c r="HR51" s="222">
        <f>HP51/HQ51</f>
        <v>0.47735772956056466</v>
      </c>
      <c r="HS51" s="251">
        <f t="shared" si="11"/>
        <v>990.00154199999997</v>
      </c>
      <c r="HT51" s="241">
        <f t="shared" si="339"/>
        <v>0</v>
      </c>
      <c r="HU51" s="242">
        <f t="shared" si="356"/>
        <v>1083.9180380000003</v>
      </c>
      <c r="HV51" s="248">
        <f t="shared" si="357"/>
        <v>0</v>
      </c>
      <c r="HW51" s="224">
        <f t="shared" si="12"/>
        <v>17.5</v>
      </c>
      <c r="HX51" s="219">
        <f t="shared" si="340"/>
        <v>21.150000000000002</v>
      </c>
      <c r="HY51" s="224">
        <f t="shared" si="341"/>
        <v>3.6500000000000021</v>
      </c>
      <c r="HZ51" s="224">
        <f t="shared" si="342"/>
        <v>23.520000000000003</v>
      </c>
      <c r="IA51" s="224">
        <f t="shared" si="343"/>
        <v>6.0200000000000031</v>
      </c>
      <c r="IB51" s="224">
        <f t="shared" si="344"/>
        <v>17.5</v>
      </c>
      <c r="IC51" s="500">
        <f t="shared" si="345"/>
        <v>17.5</v>
      </c>
      <c r="IE51" s="161">
        <f t="shared" si="346"/>
        <v>15.69066559142683</v>
      </c>
      <c r="IG51" s="259">
        <f t="shared" si="347"/>
        <v>0.16579836172705312</v>
      </c>
      <c r="II51" s="305">
        <f t="shared" si="348"/>
        <v>2334.1781978570243</v>
      </c>
      <c r="IJ51" s="305">
        <f t="shared" si="349"/>
        <v>13260.918941341721</v>
      </c>
    </row>
    <row r="52" spans="1:244" ht="15" customHeight="1" x14ac:dyDescent="0.25">
      <c r="B52" s="195">
        <f>IF($AL$5=1,$C52/10,IF($AL$5=2,$C52/10,IF($AL$5=3,0.75,IF($AL$5=4,$C52/10,))))</f>
        <v>0.7</v>
      </c>
      <c r="C52" s="336">
        <v>7</v>
      </c>
      <c r="D52" s="329">
        <f t="shared" si="350"/>
        <v>-78.284869029331787</v>
      </c>
      <c r="E52" s="30">
        <f t="shared" si="268"/>
        <v>-7</v>
      </c>
      <c r="F52" s="330" t="e">
        <f t="shared" si="269"/>
        <v>#NUM!</v>
      </c>
      <c r="G52" s="329">
        <f t="shared" si="270"/>
        <v>-32.841902222421133</v>
      </c>
      <c r="H52" s="32">
        <f t="shared" si="271"/>
        <v>-32.841902222421133</v>
      </c>
      <c r="I52" s="30">
        <f>IF(Geg_dP&lt;AB52,ROUND(((IF('Briza 22 &amp; 26'!$M$4="High Perform. 208/230V (US/EU)",cal!HK52,H52)/Watts)/((Tr_cool-Tv_cool)*1.163))*FlowH2O,IF(UnitsNo=1,0,IF(UnitsNo=2,2))),"")</f>
        <v>-14</v>
      </c>
      <c r="J52" s="330" t="e">
        <f t="shared" si="272"/>
        <v>#NUM!</v>
      </c>
      <c r="K52" s="333">
        <f t="shared" si="273"/>
        <v>0</v>
      </c>
      <c r="L52" s="297">
        <f>IF(Geg_dP&lt;$AB52,0,"")</f>
        <v>0</v>
      </c>
      <c r="M52" s="198">
        <f t="shared" si="274"/>
        <v>0</v>
      </c>
      <c r="N52" s="197">
        <f t="shared" si="275"/>
        <v>0</v>
      </c>
      <c r="O52" s="480">
        <f t="shared" si="276"/>
        <v>0</v>
      </c>
      <c r="P52" s="198" t="e">
        <f t="shared" si="277"/>
        <v>#DIV/0!</v>
      </c>
      <c r="Q52" s="297" t="e">
        <f t="shared" si="278"/>
        <v>#DIV/0!</v>
      </c>
      <c r="R52" s="509" t="e">
        <f t="shared" si="279"/>
        <v>#DIV/0!</v>
      </c>
      <c r="S52" s="36" t="e">
        <f t="shared" si="280"/>
        <v>#DIV/0!</v>
      </c>
      <c r="T52" s="300" t="e">
        <f t="shared" si="281"/>
        <v>#DIV/0!</v>
      </c>
      <c r="U52" s="416">
        <f t="shared" si="282"/>
        <v>0</v>
      </c>
      <c r="V52" s="483" t="e">
        <f t="shared" si="283"/>
        <v>#DIV/0!</v>
      </c>
      <c r="W52" s="513" t="e">
        <f t="shared" si="284"/>
        <v>#DIV/0!</v>
      </c>
      <c r="X52" s="56">
        <f t="shared" si="1"/>
        <v>0.98023000000000005</v>
      </c>
      <c r="Y52" s="56">
        <f t="shared" si="166"/>
        <v>1.2901100000000001</v>
      </c>
      <c r="Z52" s="56">
        <f t="shared" si="167"/>
        <v>1.0895999999999999</v>
      </c>
      <c r="AA52" s="56">
        <f t="shared" si="13"/>
        <v>0.98023000000000005</v>
      </c>
      <c r="AB52" s="56">
        <f t="shared" si="14"/>
        <v>72.12</v>
      </c>
      <c r="AC52" s="95">
        <v>0.98023000000000005</v>
      </c>
      <c r="AD52" s="95">
        <v>1.2901100000000001</v>
      </c>
      <c r="AE52" s="95">
        <v>1.0895999999999999</v>
      </c>
      <c r="AF52" s="96">
        <f>AF51+((AF53-AF51)/2)</f>
        <v>55</v>
      </c>
      <c r="AG52" s="95">
        <v>0.98023000000000005</v>
      </c>
      <c r="AH52" s="95">
        <v>1.2901100000000001</v>
      </c>
      <c r="AI52" s="95">
        <v>1.0895999999999999</v>
      </c>
      <c r="AJ52" s="486">
        <f>AJ51+((AJ53-AJ51)/2)</f>
        <v>79</v>
      </c>
      <c r="AK52" s="487">
        <v>0.98023000000000005</v>
      </c>
      <c r="AL52" s="487">
        <v>1.2901100000000001</v>
      </c>
      <c r="AM52" s="487">
        <v>1.0895999999999999</v>
      </c>
      <c r="AN52" s="486">
        <f>AN51+((AN53-AN51)/2)</f>
        <v>72.12</v>
      </c>
      <c r="AO52" s="487">
        <v>1.0115144976993358</v>
      </c>
      <c r="AP52" s="487">
        <v>1.35606862651545</v>
      </c>
      <c r="AQ52" s="487">
        <v>1.0900000000000001</v>
      </c>
      <c r="AR52" s="486">
        <v>187</v>
      </c>
      <c r="AS52" s="487">
        <v>0.98023000000000005</v>
      </c>
      <c r="AT52" s="487">
        <v>1.2901100000000001</v>
      </c>
      <c r="AU52" s="487">
        <v>1.0895999999999999</v>
      </c>
      <c r="AV52" s="486">
        <f t="shared" si="179"/>
        <v>55</v>
      </c>
      <c r="AW52" s="487">
        <v>0.98023000000000005</v>
      </c>
      <c r="AX52" s="487">
        <v>1.2901100000000001</v>
      </c>
      <c r="AY52" s="487">
        <v>1.0895999999999999</v>
      </c>
      <c r="AZ52" s="486">
        <f t="shared" si="180"/>
        <v>79</v>
      </c>
      <c r="BA52" s="95">
        <v>0.98022771993139868</v>
      </c>
      <c r="BB52" s="95">
        <v>1.2901116929825902</v>
      </c>
      <c r="BC52" s="95">
        <v>1.091482988399473</v>
      </c>
      <c r="BD52" s="96">
        <f t="shared" si="181"/>
        <v>72.12</v>
      </c>
      <c r="BE52" s="95">
        <v>0.98349171277865222</v>
      </c>
      <c r="BF52" s="95">
        <v>0.91323972525038233</v>
      </c>
      <c r="BG52" s="95">
        <v>1.0947469812467265</v>
      </c>
      <c r="BH52" s="96">
        <f t="shared" si="182"/>
        <v>187</v>
      </c>
      <c r="BJ52" s="182"/>
      <c r="BK52" s="252"/>
      <c r="BL52" s="253"/>
      <c r="BM52" s="253"/>
      <c r="BN52" s="252"/>
      <c r="BO52" s="253"/>
      <c r="BP52" s="254"/>
      <c r="BQ52" s="252"/>
      <c r="BR52" s="253"/>
      <c r="BS52" s="254"/>
      <c r="BT52" s="252"/>
      <c r="BU52" s="253"/>
      <c r="BV52" s="254"/>
      <c r="BW52" s="252"/>
      <c r="BX52" s="253"/>
      <c r="BY52" s="254"/>
      <c r="BZ52" s="131">
        <f t="shared" si="286"/>
        <v>0</v>
      </c>
      <c r="CA52" s="132">
        <f t="shared" si="286"/>
        <v>0</v>
      </c>
      <c r="CB52" s="132">
        <f t="shared" si="287"/>
        <v>0</v>
      </c>
      <c r="CC52" s="132">
        <f t="shared" si="288"/>
        <v>0</v>
      </c>
      <c r="CD52" s="132">
        <f t="shared" si="289"/>
        <v>0</v>
      </c>
      <c r="CE52" s="133">
        <f t="shared" si="290"/>
        <v>0</v>
      </c>
      <c r="CF52" s="131">
        <f t="shared" si="291"/>
        <v>0</v>
      </c>
      <c r="CG52" s="132">
        <f t="shared" si="292"/>
        <v>0</v>
      </c>
      <c r="CH52" s="132">
        <f t="shared" si="293"/>
        <v>0</v>
      </c>
      <c r="CI52" s="132">
        <f t="shared" si="294"/>
        <v>0</v>
      </c>
      <c r="CJ52" s="132">
        <f t="shared" si="295"/>
        <v>0</v>
      </c>
      <c r="CK52" s="131">
        <f t="shared" si="296"/>
        <v>0</v>
      </c>
      <c r="CL52" s="132">
        <f t="shared" si="297"/>
        <v>0</v>
      </c>
      <c r="CM52" s="133">
        <f t="shared" si="298"/>
        <v>0</v>
      </c>
      <c r="CN52" s="384"/>
      <c r="CO52" s="374"/>
      <c r="CP52" s="380"/>
      <c r="CQ52" s="380"/>
      <c r="CR52" s="380"/>
      <c r="CS52" s="381"/>
      <c r="CT52" s="384"/>
      <c r="CU52" s="374"/>
      <c r="CV52" s="380"/>
      <c r="CW52" s="380"/>
      <c r="CX52" s="381"/>
      <c r="CY52" s="380"/>
      <c r="CZ52" s="380"/>
      <c r="DA52" s="427"/>
      <c r="DB52" s="384"/>
      <c r="DC52" s="380"/>
      <c r="DD52" s="380"/>
      <c r="DE52" s="380"/>
      <c r="DF52" s="380"/>
      <c r="DG52" s="381"/>
      <c r="DH52" s="384"/>
      <c r="DI52" s="380"/>
      <c r="DJ52" s="380"/>
      <c r="DK52" s="380"/>
      <c r="DL52" s="381"/>
      <c r="DM52" s="380"/>
      <c r="DN52" s="380"/>
      <c r="DO52" s="427"/>
      <c r="DP52" s="426"/>
      <c r="DQ52" s="380"/>
      <c r="DR52" s="380"/>
      <c r="DS52" s="380"/>
      <c r="DT52" s="380"/>
      <c r="DU52" s="381"/>
      <c r="DV52" s="375"/>
      <c r="DW52" s="382"/>
      <c r="DX52" s="382"/>
      <c r="DY52" s="382"/>
      <c r="DZ52" s="383"/>
      <c r="EA52" s="380"/>
      <c r="EB52" s="380"/>
      <c r="EC52" s="427"/>
      <c r="ED52" s="424"/>
      <c r="EE52" s="113">
        <v>5.0260717400000004E-7</v>
      </c>
      <c r="EF52" s="113">
        <v>-3.2945174099999999E-4</v>
      </c>
      <c r="EG52" s="113">
        <v>1.8932291300000001E-2</v>
      </c>
      <c r="EH52" s="113">
        <v>-7.6282812900000003</v>
      </c>
      <c r="EI52" s="116">
        <v>2306.79781</v>
      </c>
      <c r="EJ52" s="378"/>
      <c r="EK52" s="115">
        <v>-2.0865490500000001E-8</v>
      </c>
      <c r="EL52" s="113">
        <v>8.3147404700000002E-5</v>
      </c>
      <c r="EM52" s="113">
        <v>-1.1489830999999999E-3</v>
      </c>
      <c r="EN52" s="116">
        <v>94.753331599999996</v>
      </c>
      <c r="EO52" s="395">
        <v>-1.8912531E-5</v>
      </c>
      <c r="EP52" s="395">
        <v>-3.5640629000000001E-3</v>
      </c>
      <c r="EQ52" s="433">
        <v>1794.3932299999999</v>
      </c>
      <c r="ER52" s="444"/>
      <c r="ES52" s="441"/>
      <c r="ET52" s="443"/>
      <c r="EU52" s="441"/>
      <c r="EV52" s="443"/>
      <c r="EW52" s="441"/>
      <c r="EX52" s="443"/>
      <c r="EY52" s="442"/>
      <c r="EZ52" s="137">
        <f t="shared" si="299"/>
        <v>17</v>
      </c>
      <c r="FA52" s="143">
        <f>((FA53-FA51)/2)+FA51</f>
        <v>17</v>
      </c>
      <c r="FB52" s="143">
        <f t="shared" si="300"/>
        <v>17</v>
      </c>
      <c r="FC52" s="143">
        <f t="shared" si="301"/>
        <v>17</v>
      </c>
      <c r="FD52" s="143">
        <f>IF($GC52&lt;=$FC52,$FC52,IF($FM52&lt;=$FP52,$FC52,$FZ52))</f>
        <v>17</v>
      </c>
      <c r="FE52" s="143">
        <f>((FE53-FE51)/2)+FE51</f>
        <v>18.2</v>
      </c>
      <c r="FF52" s="497">
        <f t="shared" si="303"/>
        <v>17</v>
      </c>
      <c r="FG52" s="497">
        <f>((FG53-FG51)/2)+FG51</f>
        <v>18.375</v>
      </c>
      <c r="FH52" s="497">
        <f t="shared" si="304"/>
        <v>17</v>
      </c>
      <c r="FJ52" s="344">
        <f t="shared" si="305"/>
        <v>0</v>
      </c>
      <c r="FK52" s="241">
        <f t="shared" si="306"/>
        <v>1.175</v>
      </c>
      <c r="FL52" s="495">
        <f t="shared" si="307"/>
        <v>1.4700000000000002</v>
      </c>
      <c r="FM52" s="230">
        <f t="shared" si="352"/>
        <v>0</v>
      </c>
      <c r="FN52" s="226">
        <f>((FN53-FN51)/2)+FN51</f>
        <v>1121.1084959999998</v>
      </c>
      <c r="FO52" s="226">
        <f>((FO53-FO51)/2)+FO51</f>
        <v>2299.9333999999999</v>
      </c>
      <c r="FP52" s="222">
        <f>FN52/FO52</f>
        <v>0.48745259145330028</v>
      </c>
      <c r="FQ52" s="238">
        <f t="shared" si="308"/>
        <v>0</v>
      </c>
      <c r="FR52" s="241">
        <f t="shared" si="309"/>
        <v>0</v>
      </c>
      <c r="FS52" s="242">
        <f t="shared" si="353"/>
        <v>1178.8249040000001</v>
      </c>
      <c r="FT52" s="248">
        <f t="shared" si="354"/>
        <v>0</v>
      </c>
      <c r="FU52" s="224">
        <f t="shared" si="258"/>
        <v>17</v>
      </c>
      <c r="FV52" s="219">
        <f t="shared" si="310"/>
        <v>21.150000000000002</v>
      </c>
      <c r="FW52" s="224">
        <f t="shared" si="259"/>
        <v>4.1500000000000021</v>
      </c>
      <c r="FX52" s="224">
        <f t="shared" si="311"/>
        <v>23.520000000000003</v>
      </c>
      <c r="FY52" s="224">
        <f t="shared" si="260"/>
        <v>6.5200000000000031</v>
      </c>
      <c r="FZ52" s="224">
        <f t="shared" si="261"/>
        <v>17</v>
      </c>
      <c r="GA52" s="500">
        <f t="shared" si="312"/>
        <v>17</v>
      </c>
      <c r="GC52" s="161">
        <f t="shared" si="313"/>
        <v>15.69066559142683</v>
      </c>
      <c r="GE52" s="259">
        <f t="shared" si="314"/>
        <v>0</v>
      </c>
      <c r="GG52" s="305">
        <f t="shared" si="315"/>
        <v>2334.1781978570243</v>
      </c>
      <c r="GH52" s="305" t="e">
        <f t="shared" si="316"/>
        <v>#DIV/0!</v>
      </c>
      <c r="GI52" s="305">
        <f t="shared" si="317"/>
        <v>1167.0890989285122</v>
      </c>
      <c r="GJ52" s="305">
        <f t="shared" si="318"/>
        <v>1167.0890989285119</v>
      </c>
      <c r="GK52" s="305">
        <f t="shared" si="319"/>
        <v>7.2478490515896785E-3</v>
      </c>
      <c r="GL52" s="305">
        <f t="shared" si="15"/>
        <v>7.2478490515896785E-3</v>
      </c>
      <c r="GM52" s="305">
        <f t="shared" si="320"/>
        <v>38.490692183503647</v>
      </c>
      <c r="GN52" s="305" t="e">
        <f t="shared" si="321"/>
        <v>#DIV/0!</v>
      </c>
      <c r="GO52" s="306" t="e">
        <f t="shared" si="16"/>
        <v>#DIV/0!</v>
      </c>
      <c r="GQ52" s="305">
        <f t="shared" si="322"/>
        <v>3557.0118570174286</v>
      </c>
      <c r="GR52" s="305" t="e">
        <f t="shared" si="323"/>
        <v>#DIV/0!</v>
      </c>
      <c r="GS52" s="305">
        <f t="shared" si="324"/>
        <v>1778.5059285087143</v>
      </c>
      <c r="GT52" s="305">
        <f t="shared" si="325"/>
        <v>1778.5059285087143</v>
      </c>
      <c r="GU52" s="305" t="e">
        <f t="shared" si="326"/>
        <v>#DIV/0!</v>
      </c>
      <c r="GV52" s="307">
        <f t="shared" si="327"/>
        <v>1.1112703645172665E-2</v>
      </c>
      <c r="GW52" s="307">
        <f t="shared" si="328"/>
        <v>1.1112703645172665E-2</v>
      </c>
      <c r="GX52" s="305" t="e">
        <f t="shared" si="329"/>
        <v>#DIV/0!</v>
      </c>
      <c r="GY52" s="305">
        <f t="shared" si="330"/>
        <v>55.477839519976428</v>
      </c>
      <c r="GZ52" s="305" t="e">
        <f t="shared" si="331"/>
        <v>#DIV/0!</v>
      </c>
      <c r="HA52" s="305" t="e">
        <f t="shared" si="332"/>
        <v>#DIV/0!</v>
      </c>
      <c r="HB52" s="305">
        <f t="shared" si="17"/>
        <v>19.415087041495514</v>
      </c>
      <c r="HC52" s="305" t="e">
        <f t="shared" si="18"/>
        <v>#DIV/0!</v>
      </c>
      <c r="HD52" s="529">
        <f t="shared" si="333"/>
        <v>-32.841902222421133</v>
      </c>
      <c r="HE52" s="57">
        <f t="shared" si="7"/>
        <v>0</v>
      </c>
      <c r="HF52" s="57">
        <f t="shared" si="334"/>
        <v>-32.841902222421133</v>
      </c>
      <c r="HG52" s="525">
        <f t="shared" si="9"/>
        <v>17</v>
      </c>
      <c r="HH52" s="57">
        <f t="shared" si="10"/>
        <v>17</v>
      </c>
      <c r="HI52" s="503">
        <f t="shared" si="75"/>
        <v>-32.841902222421133</v>
      </c>
      <c r="HJ52" s="2">
        <f t="shared" si="90"/>
        <v>1</v>
      </c>
      <c r="HK52" s="503">
        <f t="shared" si="76"/>
        <v>-32.841902222421133</v>
      </c>
      <c r="HL52" s="344">
        <f t="shared" si="335"/>
        <v>0</v>
      </c>
      <c r="HM52" s="241">
        <f t="shared" si="336"/>
        <v>1.175</v>
      </c>
      <c r="HN52" s="495">
        <f t="shared" si="337"/>
        <v>1.4700000000000002</v>
      </c>
      <c r="HO52" s="230">
        <f t="shared" si="355"/>
        <v>0</v>
      </c>
      <c r="HP52" s="226">
        <f>((HP53-HP51)/2)+HP51</f>
        <v>1121.1084959999998</v>
      </c>
      <c r="HQ52" s="226">
        <f t="shared" si="80"/>
        <v>2306.79781</v>
      </c>
      <c r="HR52" s="222">
        <f>HP52/HQ52</f>
        <v>0.48600206361388898</v>
      </c>
      <c r="HS52" s="251">
        <f t="shared" si="11"/>
        <v>0</v>
      </c>
      <c r="HT52" s="241">
        <f t="shared" si="339"/>
        <v>0</v>
      </c>
      <c r="HU52" s="242">
        <f t="shared" si="356"/>
        <v>1185.6893140000002</v>
      </c>
      <c r="HV52" s="248">
        <f t="shared" si="357"/>
        <v>0</v>
      </c>
      <c r="HW52" s="224">
        <f t="shared" si="12"/>
        <v>17</v>
      </c>
      <c r="HX52" s="219">
        <f t="shared" si="340"/>
        <v>21.150000000000002</v>
      </c>
      <c r="HY52" s="224">
        <f t="shared" si="341"/>
        <v>4.1500000000000021</v>
      </c>
      <c r="HZ52" s="224">
        <f t="shared" si="342"/>
        <v>23.520000000000003</v>
      </c>
      <c r="IA52" s="224">
        <f t="shared" si="343"/>
        <v>6.5200000000000031</v>
      </c>
      <c r="IB52" s="224">
        <f t="shared" si="344"/>
        <v>17</v>
      </c>
      <c r="IC52" s="500">
        <f t="shared" si="345"/>
        <v>17</v>
      </c>
      <c r="IE52" s="161">
        <f t="shared" si="346"/>
        <v>15.69066559142683</v>
      </c>
      <c r="IG52" s="259">
        <f t="shared" si="347"/>
        <v>0.16579836172705312</v>
      </c>
      <c r="II52" s="305">
        <f t="shared" si="348"/>
        <v>2334.1781978570243</v>
      </c>
      <c r="IJ52" s="305" t="e">
        <f t="shared" si="349"/>
        <v>#DIV/0!</v>
      </c>
    </row>
    <row r="53" spans="1:244" s="506" customFormat="1" ht="15" customHeight="1" x14ac:dyDescent="0.25">
      <c r="A53" s="2"/>
      <c r="B53" s="195">
        <f>IF($AL$5=1,$C53/10,IF($AL$5=2,$C53/10,IF($AL$5=3,1,IF($AL$5=4,$C53/10,))))</f>
        <v>0.8</v>
      </c>
      <c r="C53" s="336">
        <v>8</v>
      </c>
      <c r="D53" s="329">
        <f t="shared" si="350"/>
        <v>13249.920177568205</v>
      </c>
      <c r="E53" s="30">
        <f t="shared" si="268"/>
        <v>1139</v>
      </c>
      <c r="F53" s="330">
        <f t="shared" si="269"/>
        <v>15.462761700679485</v>
      </c>
      <c r="G53" s="329">
        <f t="shared" si="270"/>
        <v>2659.5317739984412</v>
      </c>
      <c r="H53" s="32">
        <f t="shared" si="271"/>
        <v>2659.5317739984412</v>
      </c>
      <c r="I53" s="30">
        <f>IF(Geg_dP&lt;AB53,ROUND(((IF('Briza 22 &amp; 26'!$M$4="High Perform. 208/230V (US/EU)",cal!HK53,H53)/Watts)/((Tr_cool-Tv_cool)*1.163))*FlowH2O,IF(UnitsNo=1,0,IF(UnitsNo=2,2))),"")</f>
        <v>1143</v>
      </c>
      <c r="J53" s="330">
        <f t="shared" si="272"/>
        <v>15.584305711329021</v>
      </c>
      <c r="K53" s="333">
        <f t="shared" si="273"/>
        <v>47</v>
      </c>
      <c r="L53" s="297">
        <f>IF(Geg_dP&lt;$AB53,IF(CalcNo="12",$ET53,IF(CalcNo="22",$ET53,IF(CalcNo="13",$EU53,IF(CalcNo="23",$EU53,IF(CalcNo="11",$ER53,IF(CalcNo="21",$ER53,IF(CalcNo="14",$ES53,IF(CalcNo="24",$ES53,IF(CalcNo="32",$EX53,IF(CalcNo="42",$EX53,IF(CalcNo="33",$EY53,IF(CalcNo="43",$EY53,IF(CalcNo="31",$EV53,IF(CalcNo="41",$EV53,IF(CalcNo="34",$EW53,IF(CalcNo="44",$EW53,)))))))))))))))),"")</f>
        <v>55</v>
      </c>
      <c r="M53" s="198">
        <f t="shared" si="274"/>
        <v>65.78114400748828</v>
      </c>
      <c r="N53" s="197">
        <f t="shared" si="275"/>
        <v>1252.2154499999999</v>
      </c>
      <c r="O53" s="480">
        <f t="shared" si="276"/>
        <v>1.0200516862170086</v>
      </c>
      <c r="P53" s="198">
        <f t="shared" si="277"/>
        <v>51.059180469714676</v>
      </c>
      <c r="Q53" s="297">
        <f t="shared" si="278"/>
        <v>23.544263465235527</v>
      </c>
      <c r="R53" s="509">
        <f t="shared" si="279"/>
        <v>20.687459775071233</v>
      </c>
      <c r="S53" s="36">
        <f t="shared" si="280"/>
        <v>17.374138623148855</v>
      </c>
      <c r="T53" s="300">
        <f t="shared" si="281"/>
        <v>0.7303229967103656</v>
      </c>
      <c r="U53" s="416">
        <f t="shared" si="282"/>
        <v>998.5100266806237</v>
      </c>
      <c r="V53" s="483">
        <f t="shared" si="283"/>
        <v>0.18911451573845206</v>
      </c>
      <c r="W53" s="513">
        <f t="shared" si="284"/>
        <v>2.1238611726108645</v>
      </c>
      <c r="X53" s="56">
        <f t="shared" si="1"/>
        <v>0.98023000000000005</v>
      </c>
      <c r="Y53" s="56">
        <f t="shared" si="166"/>
        <v>1.2901100000000001</v>
      </c>
      <c r="Z53" s="56">
        <f t="shared" si="167"/>
        <v>1.0895999999999999</v>
      </c>
      <c r="AA53" s="56">
        <f t="shared" si="13"/>
        <v>0.98023000000000005</v>
      </c>
      <c r="AB53" s="56">
        <f t="shared" si="14"/>
        <v>89</v>
      </c>
      <c r="AC53" s="95">
        <v>0.98023000000000005</v>
      </c>
      <c r="AD53" s="95">
        <v>1.2901100000000001</v>
      </c>
      <c r="AE53" s="95">
        <v>1.0895999999999999</v>
      </c>
      <c r="AF53" s="96">
        <v>70</v>
      </c>
      <c r="AG53" s="95">
        <v>0.98023000000000005</v>
      </c>
      <c r="AH53" s="95">
        <v>1.2901100000000001</v>
      </c>
      <c r="AI53" s="95">
        <v>1.0895999999999999</v>
      </c>
      <c r="AJ53" s="486">
        <v>99</v>
      </c>
      <c r="AK53" s="487">
        <v>0.98023000000000005</v>
      </c>
      <c r="AL53" s="487">
        <v>1.2901100000000001</v>
      </c>
      <c r="AM53" s="487">
        <v>1.0895999999999999</v>
      </c>
      <c r="AN53" s="486">
        <v>89</v>
      </c>
      <c r="AO53" s="487">
        <v>1.0115144976993358</v>
      </c>
      <c r="AP53" s="487">
        <v>1.35606862651545</v>
      </c>
      <c r="AQ53" s="487">
        <v>1.0900000000000001</v>
      </c>
      <c r="AR53" s="486">
        <v>213.64</v>
      </c>
      <c r="AS53" s="487">
        <v>0.98023000000000005</v>
      </c>
      <c r="AT53" s="487">
        <v>1.2901100000000001</v>
      </c>
      <c r="AU53" s="487">
        <v>1.0895999999999999</v>
      </c>
      <c r="AV53" s="486">
        <f t="shared" si="179"/>
        <v>70</v>
      </c>
      <c r="AW53" s="487">
        <v>0.98023000000000005</v>
      </c>
      <c r="AX53" s="487">
        <v>1.2901100000000001</v>
      </c>
      <c r="AY53" s="487">
        <v>1.0895999999999999</v>
      </c>
      <c r="AZ53" s="486">
        <f t="shared" si="180"/>
        <v>99</v>
      </c>
      <c r="BA53" s="95">
        <v>0.98022771993139868</v>
      </c>
      <c r="BB53" s="95">
        <v>1.2901116929825902</v>
      </c>
      <c r="BC53" s="95">
        <v>1.091482988399473</v>
      </c>
      <c r="BD53" s="96">
        <f t="shared" si="181"/>
        <v>89</v>
      </c>
      <c r="BE53" s="95">
        <v>0.98349171277865222</v>
      </c>
      <c r="BF53" s="95">
        <v>0.91323972525038233</v>
      </c>
      <c r="BG53" s="95">
        <v>1.0947469812467265</v>
      </c>
      <c r="BH53" s="96">
        <f t="shared" si="182"/>
        <v>213.64</v>
      </c>
      <c r="BI53" s="2"/>
      <c r="BJ53" s="182"/>
      <c r="BK53" s="84">
        <f t="shared" ref="BK53:BM54" si="358">IF($BK$17="11",BN53,IF($BK$17="21",BQ53,IF($BK$17="12",BN53,IF($BK$17="22",BQ53,IF($BK$17="13",BN53,IF($BK$17="23",BQ53,IF($BK$17="14",BN53,IF($BK$17="24",BQ53,IF($BK$17="31",BT53,IF($BK$17="41",BW53,IF($BK$17="32",BT53,IF($BK$17="42",BW53,IF($BK$17="33",BT53,IF($BK$17="43",BW53,IF($BK$17="34",BT53,IF($BK$17="44",BW53,))))))))))))))))</f>
        <v>6.5549644699999998</v>
      </c>
      <c r="BL53" s="85">
        <f t="shared" si="358"/>
        <v>4.7151941300000004</v>
      </c>
      <c r="BM53" s="85">
        <f t="shared" si="358"/>
        <v>2.3056099999999999E-6</v>
      </c>
      <c r="BN53" s="103">
        <v>6.5549644699999998</v>
      </c>
      <c r="BO53" s="104">
        <v>4.7151941300000004</v>
      </c>
      <c r="BP53" s="106">
        <v>2.3056099999999999E-6</v>
      </c>
      <c r="BQ53" s="103">
        <v>3.4455552900000002</v>
      </c>
      <c r="BR53" s="104">
        <f>BO53</f>
        <v>4.7151941300000004</v>
      </c>
      <c r="BS53" s="106">
        <f>+BP53</f>
        <v>2.3056099999999999E-6</v>
      </c>
      <c r="BT53" s="103">
        <v>7.3243448300000003</v>
      </c>
      <c r="BU53" s="104">
        <v>5.4530014299999996</v>
      </c>
      <c r="BV53" s="106">
        <v>1.44758035E-7</v>
      </c>
      <c r="BW53" s="103">
        <f>BQ53</f>
        <v>3.4455552900000002</v>
      </c>
      <c r="BX53" s="104">
        <f>BU53</f>
        <v>5.4530014299999996</v>
      </c>
      <c r="BY53" s="106">
        <f>+BV53</f>
        <v>1.44758035E-7</v>
      </c>
      <c r="BZ53" s="131">
        <f t="shared" si="286"/>
        <v>0</v>
      </c>
      <c r="CA53" s="134">
        <f t="shared" si="286"/>
        <v>1.04718514E-5</v>
      </c>
      <c r="CB53" s="134">
        <f t="shared" si="287"/>
        <v>-2.0712946899999998E-3</v>
      </c>
      <c r="CC53" s="134">
        <f t="shared" si="288"/>
        <v>9.6034275500000002E-2</v>
      </c>
      <c r="CD53" s="134">
        <f t="shared" si="289"/>
        <v>-13.1127941</v>
      </c>
      <c r="CE53" s="135">
        <f t="shared" si="290"/>
        <v>1252.2154499999999</v>
      </c>
      <c r="CF53" s="131">
        <f t="shared" si="291"/>
        <v>0</v>
      </c>
      <c r="CG53" s="134">
        <f t="shared" si="292"/>
        <v>-1.9278498300000001E-8</v>
      </c>
      <c r="CH53" s="134">
        <f t="shared" si="293"/>
        <v>4.3559543899999997E-5</v>
      </c>
      <c r="CI53" s="134">
        <f t="shared" si="294"/>
        <v>1.6095081099999999E-3</v>
      </c>
      <c r="CJ53" s="134">
        <f t="shared" si="295"/>
        <v>33.316309699999998</v>
      </c>
      <c r="CK53" s="136">
        <f t="shared" si="296"/>
        <v>-5.3974329800000001E-5</v>
      </c>
      <c r="CL53" s="134">
        <f t="shared" si="297"/>
        <v>-0.17045217300000001</v>
      </c>
      <c r="CM53" s="135">
        <f t="shared" si="298"/>
        <v>1296.5869700000001</v>
      </c>
      <c r="CN53" s="353"/>
      <c r="CO53" s="387"/>
      <c r="CP53" s="117">
        <v>-2.22489082E-3</v>
      </c>
      <c r="CQ53" s="117">
        <v>0.17017468699999999</v>
      </c>
      <c r="CR53" s="117">
        <v>-17.821460699999999</v>
      </c>
      <c r="CS53" s="118">
        <v>1149.6537599999999</v>
      </c>
      <c r="CT53" s="353"/>
      <c r="CU53" s="355"/>
      <c r="CV53" s="117">
        <v>5.0518417200000002E-6</v>
      </c>
      <c r="CW53" s="117">
        <v>2.1430737299999999E-2</v>
      </c>
      <c r="CX53" s="118">
        <v>21.335446399999999</v>
      </c>
      <c r="CY53" s="113">
        <v>-6.1249069399999998E-5</v>
      </c>
      <c r="CZ53" s="113">
        <v>-7.2063713099999996E-2</v>
      </c>
      <c r="DA53" s="423">
        <v>1076.3497199999999</v>
      </c>
      <c r="DB53" s="358"/>
      <c r="DC53" s="117">
        <v>4.36848087E-6</v>
      </c>
      <c r="DD53" s="117">
        <v>-1.0974858100000001E-3</v>
      </c>
      <c r="DE53" s="117">
        <v>4.5253525400000001E-2</v>
      </c>
      <c r="DF53" s="117">
        <v>-13.266188</v>
      </c>
      <c r="DG53" s="118">
        <v>1528.58599</v>
      </c>
      <c r="DH53" s="358"/>
      <c r="DI53" s="119">
        <v>-1.52657471E-8</v>
      </c>
      <c r="DJ53" s="117">
        <v>3.9111520300000003E-5</v>
      </c>
      <c r="DK53" s="117">
        <v>1.21735851E-2</v>
      </c>
      <c r="DL53" s="169">
        <v>39.592182800000003</v>
      </c>
      <c r="DM53" s="113">
        <v>5.6065580199999996E-6</v>
      </c>
      <c r="DN53" s="113">
        <v>-0.179528089</v>
      </c>
      <c r="DO53" s="423">
        <v>1375.68904</v>
      </c>
      <c r="DP53" s="424"/>
      <c r="DQ53" s="117">
        <v>1.04718514E-5</v>
      </c>
      <c r="DR53" s="117">
        <v>-2.0712946899999998E-3</v>
      </c>
      <c r="DS53" s="117">
        <v>9.6034275500000002E-2</v>
      </c>
      <c r="DT53" s="117">
        <v>-13.1127941</v>
      </c>
      <c r="DU53" s="118">
        <v>1252.2154499999999</v>
      </c>
      <c r="DV53" s="377"/>
      <c r="DW53" s="127">
        <v>-1.9278498300000001E-8</v>
      </c>
      <c r="DX53" s="123">
        <v>4.3559543899999997E-5</v>
      </c>
      <c r="DY53" s="123">
        <v>1.6095081099999999E-3</v>
      </c>
      <c r="DZ53" s="124">
        <v>33.316309699999998</v>
      </c>
      <c r="EA53" s="117">
        <f xml:space="preserve"> -0.0000539743298</f>
        <v>-5.3974329800000001E-5</v>
      </c>
      <c r="EB53" s="117">
        <v>-0.17045217300000001</v>
      </c>
      <c r="EC53" s="425">
        <v>1296.5869700000001</v>
      </c>
      <c r="ED53" s="435">
        <v>3.88721551E-8</v>
      </c>
      <c r="EE53" s="117">
        <v>-1.8289573699999999E-5</v>
      </c>
      <c r="EF53" s="117">
        <v>2.7644196299999998E-3</v>
      </c>
      <c r="EG53" s="117">
        <v>-0.182628081</v>
      </c>
      <c r="EH53" s="117">
        <v>-1.55862612</v>
      </c>
      <c r="EI53" s="117">
        <v>2525.94722</v>
      </c>
      <c r="EJ53" s="379"/>
      <c r="EK53" s="119">
        <v>-2.81778894E-8</v>
      </c>
      <c r="EL53" s="117">
        <v>1.14108626E-4</v>
      </c>
      <c r="EM53" s="117">
        <v>-1.30150701E-2</v>
      </c>
      <c r="EN53" s="118">
        <v>109.83726299999999</v>
      </c>
      <c r="EO53" s="396">
        <v>-1.9627954799999999E-5</v>
      </c>
      <c r="EP53" s="396">
        <v>3.7930631800000003E-2</v>
      </c>
      <c r="EQ53" s="431">
        <v>1904.8100400000001</v>
      </c>
      <c r="ER53" s="137">
        <v>55</v>
      </c>
      <c r="ES53" s="368"/>
      <c r="ET53" s="137">
        <v>55</v>
      </c>
      <c r="EU53" s="368"/>
      <c r="EV53" s="137">
        <f>EX53</f>
        <v>57</v>
      </c>
      <c r="EW53" s="368"/>
      <c r="EX53" s="137">
        <v>57</v>
      </c>
      <c r="EY53" s="368"/>
      <c r="EZ53" s="137">
        <f t="shared" si="299"/>
        <v>17.5</v>
      </c>
      <c r="FA53" s="143">
        <f>Tavg_cold</f>
        <v>17</v>
      </c>
      <c r="FB53" s="144">
        <f t="shared" si="300"/>
        <v>17.5</v>
      </c>
      <c r="FC53" s="143">
        <f t="shared" si="301"/>
        <v>17.5</v>
      </c>
      <c r="FD53" s="144">
        <f t="shared" si="302"/>
        <v>17.5</v>
      </c>
      <c r="FE53" s="144">
        <f t="shared" si="351"/>
        <v>18.2</v>
      </c>
      <c r="FF53" s="497">
        <f t="shared" si="303"/>
        <v>17.5</v>
      </c>
      <c r="FG53" s="497">
        <f>FH53*1.05</f>
        <v>18.375</v>
      </c>
      <c r="FH53" s="497">
        <f t="shared" si="304"/>
        <v>17.5</v>
      </c>
      <c r="FI53" s="2"/>
      <c r="FJ53" s="344">
        <f t="shared" si="305"/>
        <v>0.5</v>
      </c>
      <c r="FK53" s="241">
        <f t="shared" si="306"/>
        <v>1.175</v>
      </c>
      <c r="FL53" s="495">
        <f t="shared" si="307"/>
        <v>1.4700000000000002</v>
      </c>
      <c r="FM53" s="230">
        <f t="shared" si="352"/>
        <v>0.49574094030357446</v>
      </c>
      <c r="FN53" s="226">
        <f>DU53</f>
        <v>1252.2154499999999</v>
      </c>
      <c r="FO53" s="226">
        <f>EI53</f>
        <v>2525.94722</v>
      </c>
      <c r="FP53" s="222">
        <f>FP54</f>
        <v>0.5685531148984182</v>
      </c>
      <c r="FQ53" s="238">
        <f t="shared" si="308"/>
        <v>1252.2154499999999</v>
      </c>
      <c r="FR53" s="241">
        <f t="shared" si="309"/>
        <v>0</v>
      </c>
      <c r="FS53" s="242">
        <f t="shared" si="353"/>
        <v>1089.81206</v>
      </c>
      <c r="FT53" s="248">
        <f t="shared" si="354"/>
        <v>0</v>
      </c>
      <c r="FU53" s="224">
        <f t="shared" si="258"/>
        <v>17.5</v>
      </c>
      <c r="FV53" s="238">
        <f t="shared" si="310"/>
        <v>21.150000000000002</v>
      </c>
      <c r="FW53" s="224">
        <f t="shared" si="259"/>
        <v>3.6500000000000021</v>
      </c>
      <c r="FX53" s="224">
        <f t="shared" si="311"/>
        <v>23.520000000000003</v>
      </c>
      <c r="FY53" s="224">
        <f t="shared" si="260"/>
        <v>6.0200000000000031</v>
      </c>
      <c r="FZ53" s="224">
        <f t="shared" si="261"/>
        <v>17.5</v>
      </c>
      <c r="GA53" s="500">
        <f t="shared" si="312"/>
        <v>17.5</v>
      </c>
      <c r="GB53" s="2"/>
      <c r="GC53" s="161">
        <f t="shared" si="313"/>
        <v>15.69066559142683</v>
      </c>
      <c r="GD53" s="2"/>
      <c r="GE53" s="259">
        <f t="shared" si="314"/>
        <v>0</v>
      </c>
      <c r="GF53" s="2"/>
      <c r="GG53" s="305">
        <f t="shared" si="315"/>
        <v>2334.1781978570243</v>
      </c>
      <c r="GH53" s="305">
        <f t="shared" si="316"/>
        <v>12949.664240814944</v>
      </c>
      <c r="GI53" s="305">
        <f t="shared" si="317"/>
        <v>1167.0890989285122</v>
      </c>
      <c r="GJ53" s="305">
        <f t="shared" si="318"/>
        <v>1167.0890989285119</v>
      </c>
      <c r="GK53" s="305">
        <f t="shared" si="319"/>
        <v>7.2478490515896785E-3</v>
      </c>
      <c r="GL53" s="305">
        <f t="shared" si="15"/>
        <v>7.2478490515896785E-3</v>
      </c>
      <c r="GM53" s="305">
        <f t="shared" si="320"/>
        <v>38.490692183503647</v>
      </c>
      <c r="GN53" s="305">
        <f t="shared" si="321"/>
        <v>70.126128466265669</v>
      </c>
      <c r="GO53" s="306">
        <f t="shared" si="16"/>
        <v>9.0125047045626336E-2</v>
      </c>
      <c r="GP53" s="2"/>
      <c r="GQ53" s="305">
        <f t="shared" si="322"/>
        <v>3557.0118570174286</v>
      </c>
      <c r="GR53" s="305">
        <f t="shared" si="323"/>
        <v>2435.2319953222577</v>
      </c>
      <c r="GS53" s="305">
        <f t="shared" si="324"/>
        <v>1778.5059285087143</v>
      </c>
      <c r="GT53" s="305">
        <f t="shared" si="325"/>
        <v>1778.5059285087143</v>
      </c>
      <c r="GU53" s="305">
        <f t="shared" si="326"/>
        <v>1778.5059285087143</v>
      </c>
      <c r="GV53" s="307">
        <f t="shared" si="327"/>
        <v>1.1112703645172665E-2</v>
      </c>
      <c r="GW53" s="307">
        <f t="shared" si="328"/>
        <v>1.1112703645172665E-2</v>
      </c>
      <c r="GX53" s="305">
        <f t="shared" si="329"/>
        <v>1.1112703645172665E-2</v>
      </c>
      <c r="GY53" s="305">
        <f t="shared" si="330"/>
        <v>55.477839519976428</v>
      </c>
      <c r="GZ53" s="305">
        <f t="shared" si="331"/>
        <v>55.477839519976428</v>
      </c>
      <c r="HA53" s="305">
        <f t="shared" si="332"/>
        <v>49.002557236927103</v>
      </c>
      <c r="HB53" s="305">
        <f t="shared" si="17"/>
        <v>19.415087041495514</v>
      </c>
      <c r="HC53" s="305">
        <f t="shared" si="18"/>
        <v>19.415087041495514</v>
      </c>
      <c r="HD53" s="529">
        <f t="shared" si="333"/>
        <v>2659.5317739984412</v>
      </c>
      <c r="HE53" s="57">
        <f t="shared" si="7"/>
        <v>1252.2154499999999</v>
      </c>
      <c r="HF53" s="57">
        <f t="shared" si="334"/>
        <v>2659.5317739984412</v>
      </c>
      <c r="HG53" s="525">
        <f t="shared" si="9"/>
        <v>17.5</v>
      </c>
      <c r="HH53" s="57">
        <f t="shared" si="10"/>
        <v>17.5</v>
      </c>
      <c r="HI53" s="503">
        <f t="shared" si="75"/>
        <v>2659.5317739984412</v>
      </c>
      <c r="HJ53" s="2">
        <f t="shared" si="90"/>
        <v>1</v>
      </c>
      <c r="HK53" s="503">
        <f t="shared" si="76"/>
        <v>2659.5317739984412</v>
      </c>
      <c r="HL53" s="344">
        <f t="shared" si="335"/>
        <v>0.5</v>
      </c>
      <c r="HM53" s="241">
        <f t="shared" si="336"/>
        <v>1.175</v>
      </c>
      <c r="HN53" s="495">
        <f t="shared" si="337"/>
        <v>1.4700000000000002</v>
      </c>
      <c r="HO53" s="230">
        <f t="shared" si="355"/>
        <v>0.49574094030357446</v>
      </c>
      <c r="HP53" s="226">
        <f t="shared" si="338"/>
        <v>1252.2154499999999</v>
      </c>
      <c r="HQ53" s="226">
        <f t="shared" si="80"/>
        <v>2525.94722</v>
      </c>
      <c r="HR53" s="222">
        <f>HR54</f>
        <v>0.5685531148984182</v>
      </c>
      <c r="HS53" s="251">
        <f t="shared" si="11"/>
        <v>1252.2154499999999</v>
      </c>
      <c r="HT53" s="241">
        <f t="shared" si="339"/>
        <v>0</v>
      </c>
      <c r="HU53" s="242">
        <f t="shared" si="356"/>
        <v>1089.81206</v>
      </c>
      <c r="HV53" s="248">
        <f t="shared" si="357"/>
        <v>0</v>
      </c>
      <c r="HW53" s="224">
        <f t="shared" si="12"/>
        <v>17.5</v>
      </c>
      <c r="HX53" s="238">
        <f t="shared" si="340"/>
        <v>21.150000000000002</v>
      </c>
      <c r="HY53" s="224">
        <f t="shared" si="341"/>
        <v>3.6500000000000021</v>
      </c>
      <c r="HZ53" s="224">
        <f t="shared" si="342"/>
        <v>23.520000000000003</v>
      </c>
      <c r="IA53" s="224">
        <f t="shared" si="343"/>
        <v>6.0200000000000031</v>
      </c>
      <c r="IB53" s="224">
        <f t="shared" si="344"/>
        <v>17.5</v>
      </c>
      <c r="IC53" s="500">
        <f t="shared" si="345"/>
        <v>17.5</v>
      </c>
      <c r="ID53" s="2"/>
      <c r="IE53" s="161">
        <f t="shared" si="346"/>
        <v>15.69066559142683</v>
      </c>
      <c r="IF53" s="2"/>
      <c r="IG53" s="259">
        <f t="shared" si="347"/>
        <v>0.16579836172705312</v>
      </c>
      <c r="IH53" s="2"/>
      <c r="II53" s="305">
        <f t="shared" si="348"/>
        <v>2334.1781978570243</v>
      </c>
      <c r="IJ53" s="305">
        <f t="shared" si="349"/>
        <v>12949.664240814944</v>
      </c>
    </row>
    <row r="54" spans="1:244" ht="15" customHeight="1" x14ac:dyDescent="0.25">
      <c r="B54" s="195">
        <v>1</v>
      </c>
      <c r="C54" s="336">
        <v>10</v>
      </c>
      <c r="D54" s="329">
        <f t="shared" si="350"/>
        <v>15024.990994875396</v>
      </c>
      <c r="E54" s="30">
        <f t="shared" si="268"/>
        <v>1292</v>
      </c>
      <c r="F54" s="330">
        <f t="shared" si="269"/>
        <v>20.489991128830852</v>
      </c>
      <c r="G54" s="329">
        <f t="shared" si="270"/>
        <v>3023.1352867120613</v>
      </c>
      <c r="H54" s="32">
        <f t="shared" si="271"/>
        <v>3023.1352867120613</v>
      </c>
      <c r="I54" s="30">
        <f>IF(Geg_dP&lt;AB54,ROUND(((IF('Briza 22 &amp; 26'!$M$4="High Perform. 208/230V (US/EU)",cal!HK54,H54)/Watts)/((Tr_cool-Tv_cool)*1.163))*FlowH2O,IF(UnitsNo=1,0,IF(UnitsNo=2,2))),"")</f>
        <v>1300</v>
      </c>
      <c r="J54" s="330">
        <f t="shared" si="272"/>
        <v>20.774434419645953</v>
      </c>
      <c r="K54" s="333">
        <f t="shared" si="273"/>
        <v>51</v>
      </c>
      <c r="L54" s="297">
        <f>IF(Geg_dP&lt;$AB54,IF(CalcNo="12",$ET54,IF(CalcNo="22",$ET54,IF(CalcNo="13",$EU54,IF(CalcNo="23",$EU54,IF(CalcNo="11",$ER54,IF(CalcNo="21",$ER54,IF(CalcNo="14",$ES54,IF(CalcNo="24",$ES54,IF(CalcNo="32",$EX54,IF(CalcNo="42",$EX54,IF(CalcNo="33",$EY54,IF(CalcNo="43",$EY54,IF(CalcNo="31",$EV54,IF(CalcNo="41",$EV54,IF(CalcNo="34",$EW54,IF(CalcNo="44",$EW54,)))))))))))))))),"")</f>
        <v>59</v>
      </c>
      <c r="M54" s="198">
        <f>IF(Geg_dP&lt;$AB54,($CF54*(($N54*CFMs)^4))+($CG54*(($N54*CFMs)^3))+($CH54*(($N54*CFMs)^2))+($CI54*($N54*CFMs))+$CJ54,"")</f>
        <v>95.03387554408134</v>
      </c>
      <c r="N54" s="197">
        <f t="shared" si="275"/>
        <v>1436.13516</v>
      </c>
      <c r="O54" s="480">
        <f t="shared" si="276"/>
        <v>1.169872238514174</v>
      </c>
      <c r="P54" s="198">
        <f t="shared" si="277"/>
        <v>50.709637756320284</v>
      </c>
      <c r="Q54" s="297">
        <f t="shared" si="278"/>
        <v>23.450844282935535</v>
      </c>
      <c r="R54" s="509">
        <f t="shared" si="279"/>
        <v>20.743372478217854</v>
      </c>
      <c r="S54" s="36">
        <f t="shared" si="280"/>
        <v>17.392889922423276</v>
      </c>
      <c r="T54" s="300">
        <f t="shared" si="281"/>
        <v>0.72781709516274096</v>
      </c>
      <c r="U54" s="416">
        <f t="shared" si="282"/>
        <v>1126.110007110515</v>
      </c>
      <c r="V54" s="483">
        <f t="shared" si="283"/>
        <v>0.23822406239165739</v>
      </c>
      <c r="W54" s="513">
        <f t="shared" si="284"/>
        <v>2.1050492815119584</v>
      </c>
      <c r="X54" s="56">
        <f t="shared" si="1"/>
        <v>0.98023000000000005</v>
      </c>
      <c r="Y54" s="56">
        <f t="shared" si="166"/>
        <v>1.2901100000000001</v>
      </c>
      <c r="Z54" s="56">
        <f t="shared" si="167"/>
        <v>1.0895999999999999</v>
      </c>
      <c r="AA54" s="56">
        <f t="shared" si="13"/>
        <v>0.98023000000000005</v>
      </c>
      <c r="AB54" s="56">
        <f t="shared" si="14"/>
        <v>119.78</v>
      </c>
      <c r="AC54" s="95">
        <v>0.98023000000000005</v>
      </c>
      <c r="AD54" s="95">
        <v>1.2901100000000001</v>
      </c>
      <c r="AE54" s="95">
        <v>1.0895999999999999</v>
      </c>
      <c r="AF54" s="96">
        <v>90</v>
      </c>
      <c r="AG54" s="95">
        <v>0.98023000000000005</v>
      </c>
      <c r="AH54" s="95">
        <v>1.2901100000000001</v>
      </c>
      <c r="AI54" s="95">
        <v>1.0895999999999999</v>
      </c>
      <c r="AJ54" s="486">
        <v>134</v>
      </c>
      <c r="AK54" s="487">
        <v>0.98023000000000005</v>
      </c>
      <c r="AL54" s="487">
        <v>1.2901100000000001</v>
      </c>
      <c r="AM54" s="487">
        <v>1.0895999999999999</v>
      </c>
      <c r="AN54" s="486">
        <v>119.78</v>
      </c>
      <c r="AO54" s="487">
        <v>1.0115144976993358</v>
      </c>
      <c r="AP54" s="487">
        <v>1.35606862651545</v>
      </c>
      <c r="AQ54" s="487">
        <v>1.0900000000000001</v>
      </c>
      <c r="AR54" s="486">
        <f>AR53</f>
        <v>213.64</v>
      </c>
      <c r="AS54" s="487">
        <v>0.98023000000000005</v>
      </c>
      <c r="AT54" s="487">
        <v>1.2901100000000001</v>
      </c>
      <c r="AU54" s="487">
        <v>1.0895999999999999</v>
      </c>
      <c r="AV54" s="486">
        <f t="shared" si="179"/>
        <v>90</v>
      </c>
      <c r="AW54" s="487">
        <v>0.98023000000000005</v>
      </c>
      <c r="AX54" s="487">
        <v>1.2901100000000001</v>
      </c>
      <c r="AY54" s="487">
        <v>1.0895999999999999</v>
      </c>
      <c r="AZ54" s="486">
        <f t="shared" si="180"/>
        <v>134</v>
      </c>
      <c r="BA54" s="95">
        <v>0.98022771993139868</v>
      </c>
      <c r="BB54" s="95">
        <v>1.2901116929825902</v>
      </c>
      <c r="BC54" s="95">
        <v>1.091482988399473</v>
      </c>
      <c r="BD54" s="96">
        <f t="shared" si="181"/>
        <v>119.78</v>
      </c>
      <c r="BE54" s="95">
        <v>0.98349171277865222</v>
      </c>
      <c r="BF54" s="95">
        <v>0.91323972525038233</v>
      </c>
      <c r="BG54" s="95">
        <v>1.0947469812467265</v>
      </c>
      <c r="BH54" s="96">
        <f t="shared" si="182"/>
        <v>213.64</v>
      </c>
      <c r="BJ54" s="182"/>
      <c r="BK54" s="84">
        <f t="shared" si="358"/>
        <v>-44.587332699999997</v>
      </c>
      <c r="BL54" s="85">
        <f t="shared" si="358"/>
        <v>-67.298327900000004</v>
      </c>
      <c r="BM54" s="85">
        <f t="shared" si="358"/>
        <v>2.2334200000000002</v>
      </c>
      <c r="BN54" s="103">
        <v>-44.587332699999997</v>
      </c>
      <c r="BO54" s="104">
        <v>-67.298327900000004</v>
      </c>
      <c r="BP54" s="106">
        <v>2.2334200000000002</v>
      </c>
      <c r="BQ54" s="103">
        <v>284.66593999999998</v>
      </c>
      <c r="BR54" s="104">
        <f>BO54</f>
        <v>-67.298327900000004</v>
      </c>
      <c r="BS54" s="106">
        <f>+BP54</f>
        <v>2.2334200000000002</v>
      </c>
      <c r="BT54" s="103">
        <v>-38.714622300000002</v>
      </c>
      <c r="BU54" s="104">
        <v>-22.857575099999998</v>
      </c>
      <c r="BV54" s="106">
        <v>2.5147659999999998</v>
      </c>
      <c r="BW54" s="103">
        <f>BQ54</f>
        <v>284.66593999999998</v>
      </c>
      <c r="BX54" s="104">
        <f>BU54</f>
        <v>-22.857575099999998</v>
      </c>
      <c r="BY54" s="106">
        <f>+BV54</f>
        <v>2.5147659999999998</v>
      </c>
      <c r="BZ54" s="131">
        <f t="shared" si="286"/>
        <v>0</v>
      </c>
      <c r="CA54" s="134">
        <f t="shared" si="286"/>
        <v>2.23064691E-6</v>
      </c>
      <c r="CB54" s="134">
        <f t="shared" si="287"/>
        <v>-6.05070076E-4</v>
      </c>
      <c r="CC54" s="134">
        <f t="shared" si="288"/>
        <v>3.2742270099999998E-2</v>
      </c>
      <c r="CD54" s="134">
        <f t="shared" si="289"/>
        <v>-10.7552222</v>
      </c>
      <c r="CE54" s="135">
        <f t="shared" si="290"/>
        <v>1436.13516</v>
      </c>
      <c r="CF54" s="131">
        <f t="shared" si="291"/>
        <v>0</v>
      </c>
      <c r="CG54" s="134">
        <f t="shared" si="292"/>
        <v>-8.8102701999999996E-8</v>
      </c>
      <c r="CH54" s="134">
        <f t="shared" si="293"/>
        <v>1.3361966900000001E-4</v>
      </c>
      <c r="CI54" s="134">
        <f t="shared" si="294"/>
        <v>6.1645271099999999E-3</v>
      </c>
      <c r="CJ54" s="134">
        <f t="shared" si="295"/>
        <v>47.562116400000001</v>
      </c>
      <c r="CK54" s="136">
        <f t="shared" si="296"/>
        <v>-3.04172464E-5</v>
      </c>
      <c r="CL54" s="134">
        <f t="shared" si="297"/>
        <v>-0.21778630700000001</v>
      </c>
      <c r="CM54" s="135">
        <f t="shared" si="298"/>
        <v>1501.6156699999999</v>
      </c>
      <c r="CN54" s="353"/>
      <c r="CO54" s="387"/>
      <c r="CP54" s="117">
        <v>-1.3712953999999999E-3</v>
      </c>
      <c r="CQ54" s="117">
        <v>0.13849072300000001</v>
      </c>
      <c r="CR54" s="117">
        <v>-16.2009446</v>
      </c>
      <c r="CS54" s="118">
        <v>1331.46073</v>
      </c>
      <c r="CT54" s="353"/>
      <c r="CU54" s="355"/>
      <c r="CV54" s="117">
        <v>1.5892129599999999E-5</v>
      </c>
      <c r="CW54" s="117">
        <v>4.372711E-2</v>
      </c>
      <c r="CX54" s="118">
        <v>29.3877633</v>
      </c>
      <c r="CY54" s="113">
        <v>-4.87173314E-5</v>
      </c>
      <c r="CZ54" s="113">
        <v>-8.8262489099999994E-2</v>
      </c>
      <c r="DA54" s="423">
        <v>1241.2160699999999</v>
      </c>
      <c r="DB54" s="358"/>
      <c r="DC54" s="117">
        <v>-1.3804421199999999E-7</v>
      </c>
      <c r="DD54" s="117">
        <v>-3.4017782000000002E-5</v>
      </c>
      <c r="DE54" s="117">
        <v>-1.46168811E-2</v>
      </c>
      <c r="DF54" s="117">
        <v>-10.047478</v>
      </c>
      <c r="DG54" s="118">
        <v>1756.34247</v>
      </c>
      <c r="DH54" s="358"/>
      <c r="DI54" s="119">
        <v>-8.3464062700000004E-8</v>
      </c>
      <c r="DJ54" s="117">
        <v>1.4063788400000001E-4</v>
      </c>
      <c r="DK54" s="117">
        <v>2.1035089999999999E-2</v>
      </c>
      <c r="DL54" s="169">
        <v>58.306747399999999</v>
      </c>
      <c r="DM54" s="113">
        <v>-6.0251117399999999E-6</v>
      </c>
      <c r="DN54" s="113">
        <v>-0.18736331000000001</v>
      </c>
      <c r="DO54" s="423">
        <v>1593.8513800000001</v>
      </c>
      <c r="DP54" s="424"/>
      <c r="DQ54" s="117">
        <v>2.23064691E-6</v>
      </c>
      <c r="DR54" s="117">
        <v>-6.05070076E-4</v>
      </c>
      <c r="DS54" s="117">
        <v>3.2742270099999998E-2</v>
      </c>
      <c r="DT54" s="117">
        <v>-10.7552222</v>
      </c>
      <c r="DU54" s="118">
        <v>1436.13516</v>
      </c>
      <c r="DV54" s="377"/>
      <c r="DW54" s="127">
        <v>-8.8102701999999996E-8</v>
      </c>
      <c r="DX54" s="123">
        <v>1.3361966900000001E-4</v>
      </c>
      <c r="DY54" s="123">
        <v>6.1645271099999999E-3</v>
      </c>
      <c r="DZ54" s="124">
        <v>47.562116400000001</v>
      </c>
      <c r="EA54" s="117">
        <v>-3.04172464E-5</v>
      </c>
      <c r="EB54" s="117">
        <v>-0.21778630700000001</v>
      </c>
      <c r="EC54" s="425">
        <v>1501.6156699999999</v>
      </c>
      <c r="ED54" s="435">
        <f t="shared" ref="ED54:EI54" si="359">ED53</f>
        <v>3.88721551E-8</v>
      </c>
      <c r="EE54" s="117">
        <f t="shared" si="359"/>
        <v>-1.8289573699999999E-5</v>
      </c>
      <c r="EF54" s="117">
        <f t="shared" si="359"/>
        <v>2.7644196299999998E-3</v>
      </c>
      <c r="EG54" s="117">
        <f t="shared" si="359"/>
        <v>-0.182628081</v>
      </c>
      <c r="EH54" s="117">
        <f t="shared" si="359"/>
        <v>-1.55862612</v>
      </c>
      <c r="EI54" s="117">
        <f t="shared" si="359"/>
        <v>2525.94722</v>
      </c>
      <c r="EJ54" s="379">
        <f t="shared" ref="EJ54:EQ54" si="360">EJ53</f>
        <v>0</v>
      </c>
      <c r="EK54" s="119">
        <f t="shared" si="360"/>
        <v>-2.81778894E-8</v>
      </c>
      <c r="EL54" s="117">
        <f t="shared" si="360"/>
        <v>1.14108626E-4</v>
      </c>
      <c r="EM54" s="117">
        <f t="shared" si="360"/>
        <v>-1.30150701E-2</v>
      </c>
      <c r="EN54" s="118">
        <f t="shared" si="360"/>
        <v>109.83726299999999</v>
      </c>
      <c r="EO54" s="396">
        <f t="shared" si="360"/>
        <v>-1.9627954799999999E-5</v>
      </c>
      <c r="EP54" s="396">
        <f t="shared" si="360"/>
        <v>3.7930631800000003E-2</v>
      </c>
      <c r="EQ54" s="431">
        <f t="shared" si="360"/>
        <v>1904.8100400000001</v>
      </c>
      <c r="ER54" s="137">
        <v>59</v>
      </c>
      <c r="ES54" s="368"/>
      <c r="ET54" s="137">
        <v>59</v>
      </c>
      <c r="EU54" s="368"/>
      <c r="EV54" s="137">
        <f>EX54</f>
        <v>59.5</v>
      </c>
      <c r="EW54" s="368"/>
      <c r="EX54" s="137">
        <v>59.5</v>
      </c>
      <c r="EY54" s="368"/>
      <c r="EZ54" s="137">
        <f t="shared" si="299"/>
        <v>17.5</v>
      </c>
      <c r="FA54" s="143">
        <f>Tavg_cold</f>
        <v>17</v>
      </c>
      <c r="FB54" s="144">
        <f t="shared" si="300"/>
        <v>17.5</v>
      </c>
      <c r="FC54" s="143">
        <f t="shared" si="301"/>
        <v>17.5</v>
      </c>
      <c r="FD54" s="144">
        <f t="shared" si="302"/>
        <v>17.5</v>
      </c>
      <c r="FE54" s="144">
        <f t="shared" si="351"/>
        <v>18.2</v>
      </c>
      <c r="FF54" s="497">
        <f t="shared" si="303"/>
        <v>17.5</v>
      </c>
      <c r="FG54" s="497">
        <f>FH54*1.05</f>
        <v>18.375</v>
      </c>
      <c r="FH54" s="497">
        <f t="shared" si="304"/>
        <v>17.5</v>
      </c>
      <c r="FJ54" s="344">
        <f t="shared" si="305"/>
        <v>0.5</v>
      </c>
      <c r="FK54" s="241">
        <f t="shared" si="306"/>
        <v>1.175</v>
      </c>
      <c r="FL54" s="495">
        <f t="shared" si="307"/>
        <v>1.4700000000000002</v>
      </c>
      <c r="FM54" s="230">
        <f t="shared" si="352"/>
        <v>0.5685531148984182</v>
      </c>
      <c r="FN54" s="226">
        <f>DU54</f>
        <v>1436.13516</v>
      </c>
      <c r="FO54" s="226">
        <f>EI54</f>
        <v>2525.94722</v>
      </c>
      <c r="FP54" s="222">
        <f>FN54/FO54</f>
        <v>0.5685531148984182</v>
      </c>
      <c r="FQ54" s="238">
        <f t="shared" si="308"/>
        <v>1436.13516</v>
      </c>
      <c r="FR54" s="241">
        <f t="shared" si="309"/>
        <v>0</v>
      </c>
      <c r="FS54" s="242">
        <f t="shared" si="353"/>
        <v>1089.81206</v>
      </c>
      <c r="FT54" s="248">
        <f t="shared" si="354"/>
        <v>0</v>
      </c>
      <c r="FU54" s="224">
        <f>FC54</f>
        <v>17.5</v>
      </c>
      <c r="FV54" s="238">
        <f t="shared" si="310"/>
        <v>21.150000000000002</v>
      </c>
      <c r="FW54" s="224">
        <f>ABS(FV54-FU54)</f>
        <v>3.6500000000000021</v>
      </c>
      <c r="FX54" s="224">
        <f t="shared" si="311"/>
        <v>23.520000000000003</v>
      </c>
      <c r="FY54" s="224">
        <f>ABS(FX54-FU54)</f>
        <v>6.0200000000000031</v>
      </c>
      <c r="FZ54" s="224">
        <f>IF(FM54&lt;=FP54,FU54,FU54+(FT54*FW54))</f>
        <v>17.5</v>
      </c>
      <c r="GA54" s="500">
        <f t="shared" si="312"/>
        <v>17.5</v>
      </c>
      <c r="GC54" s="161">
        <f t="shared" si="313"/>
        <v>15.69066559142683</v>
      </c>
      <c r="GE54" s="259">
        <f t="shared" si="314"/>
        <v>0</v>
      </c>
      <c r="GG54" s="305">
        <f t="shared" si="315"/>
        <v>2334.1781978570243</v>
      </c>
      <c r="GH54" s="305">
        <f t="shared" si="316"/>
        <v>12728.457318135052</v>
      </c>
      <c r="GI54" s="305">
        <f t="shared" si="317"/>
        <v>1167.0890989285122</v>
      </c>
      <c r="GJ54" s="305">
        <f t="shared" si="318"/>
        <v>1167.0890989285119</v>
      </c>
      <c r="GK54" s="305">
        <f t="shared" si="319"/>
        <v>7.2478490515896785E-3</v>
      </c>
      <c r="GL54" s="305">
        <f t="shared" si="15"/>
        <v>7.2478490515896785E-3</v>
      </c>
      <c r="GM54" s="305">
        <f t="shared" si="320"/>
        <v>38.490692183503647</v>
      </c>
      <c r="GN54" s="305">
        <f t="shared" si="321"/>
        <v>69.770100519923858</v>
      </c>
      <c r="GO54" s="306">
        <f t="shared" si="16"/>
        <v>9.1691323603347044E-2</v>
      </c>
      <c r="GQ54" s="305">
        <f t="shared" si="322"/>
        <v>3557.0118570174286</v>
      </c>
      <c r="GR54" s="305">
        <f t="shared" si="323"/>
        <v>2443.6165903894271</v>
      </c>
      <c r="GS54" s="305">
        <f t="shared" si="324"/>
        <v>1778.5059285087143</v>
      </c>
      <c r="GT54" s="305">
        <f t="shared" si="325"/>
        <v>1778.5059285087143</v>
      </c>
      <c r="GU54" s="305">
        <f t="shared" si="326"/>
        <v>1778.5059285087143</v>
      </c>
      <c r="GV54" s="307">
        <f t="shared" si="327"/>
        <v>1.1112703645172665E-2</v>
      </c>
      <c r="GW54" s="307">
        <f t="shared" si="328"/>
        <v>1.1112703645172665E-2</v>
      </c>
      <c r="GX54" s="305">
        <f t="shared" si="329"/>
        <v>1.1112703645172665E-2</v>
      </c>
      <c r="GY54" s="305">
        <f t="shared" si="330"/>
        <v>55.477839519976428</v>
      </c>
      <c r="GZ54" s="305">
        <f t="shared" si="331"/>
        <v>55.477839519976428</v>
      </c>
      <c r="HA54" s="305">
        <f t="shared" si="332"/>
        <v>49.059911411820593</v>
      </c>
      <c r="HB54" s="305">
        <f t="shared" si="17"/>
        <v>19.415087041495514</v>
      </c>
      <c r="HC54" s="305">
        <f t="shared" si="18"/>
        <v>19.415087041495514</v>
      </c>
      <c r="HD54" s="529">
        <f t="shared" si="333"/>
        <v>3023.1352867120613</v>
      </c>
      <c r="HE54" s="57">
        <f t="shared" si="7"/>
        <v>1436.13516</v>
      </c>
      <c r="HF54" s="57">
        <f t="shared" si="334"/>
        <v>3023.1352867120613</v>
      </c>
      <c r="HG54" s="525">
        <f t="shared" si="9"/>
        <v>17.5</v>
      </c>
      <c r="HH54" s="57">
        <f t="shared" si="10"/>
        <v>17.5</v>
      </c>
      <c r="HI54" s="503">
        <f t="shared" si="75"/>
        <v>3023.1352867120613</v>
      </c>
      <c r="HJ54" s="2">
        <f t="shared" si="90"/>
        <v>1</v>
      </c>
      <c r="HK54" s="503">
        <f t="shared" si="76"/>
        <v>3023.1352867120613</v>
      </c>
      <c r="HL54" s="344">
        <f t="shared" si="335"/>
        <v>0.5</v>
      </c>
      <c r="HM54" s="241">
        <f t="shared" si="336"/>
        <v>1.175</v>
      </c>
      <c r="HN54" s="495">
        <f t="shared" si="337"/>
        <v>1.4700000000000002</v>
      </c>
      <c r="HO54" s="230">
        <f t="shared" si="355"/>
        <v>0.5685531148984182</v>
      </c>
      <c r="HP54" s="226">
        <f t="shared" si="338"/>
        <v>1436.13516</v>
      </c>
      <c r="HQ54" s="226">
        <f t="shared" si="80"/>
        <v>2525.94722</v>
      </c>
      <c r="HR54" s="222">
        <f>HP54/HQ54</f>
        <v>0.5685531148984182</v>
      </c>
      <c r="HS54" s="251">
        <f t="shared" si="11"/>
        <v>1436.13516</v>
      </c>
      <c r="HT54" s="241">
        <f t="shared" si="339"/>
        <v>0</v>
      </c>
      <c r="HU54" s="242">
        <f t="shared" si="356"/>
        <v>1089.81206</v>
      </c>
      <c r="HV54" s="248">
        <f t="shared" si="357"/>
        <v>0</v>
      </c>
      <c r="HW54" s="224">
        <f t="shared" si="12"/>
        <v>17.5</v>
      </c>
      <c r="HX54" s="238">
        <f t="shared" si="340"/>
        <v>21.150000000000002</v>
      </c>
      <c r="HY54" s="224">
        <f>ABS(HX54-HW54)</f>
        <v>3.6500000000000021</v>
      </c>
      <c r="HZ54" s="224">
        <f t="shared" si="342"/>
        <v>23.520000000000003</v>
      </c>
      <c r="IA54" s="224">
        <f>ABS(HZ54-HW54)</f>
        <v>6.0200000000000031</v>
      </c>
      <c r="IB54" s="224">
        <f>IF(HO54&lt;=HR54,HW54,HW54+(HV54*HY54))</f>
        <v>17.5</v>
      </c>
      <c r="IC54" s="500">
        <f t="shared" si="345"/>
        <v>17.5</v>
      </c>
      <c r="IE54" s="161">
        <f t="shared" si="346"/>
        <v>15.69066559142683</v>
      </c>
      <c r="IG54" s="259">
        <f t="shared" si="347"/>
        <v>0.16579836172705312</v>
      </c>
      <c r="II54" s="305">
        <f t="shared" si="348"/>
        <v>2334.1781978570243</v>
      </c>
      <c r="IJ54" s="305">
        <f t="shared" si="349"/>
        <v>12728.457318135052</v>
      </c>
    </row>
    <row r="55" spans="1:244" ht="15" customHeight="1" x14ac:dyDescent="0.25">
      <c r="B55" s="589" t="str">
        <f>IF(LangNo=1,NL!A55,IF(LangNo=2,EN!A55,IF(LangNo=3,DE!A55,IF(LangNo=4,FR!A55,IF(LangNo=5,NR!A55,IF(LangNo=6,SP!A55,IF(LangNo=7,SW!A55,IF(LangNo=8,TS!A55,IF(LangNo=9,ExtraTaal1!A55,IF(LangNo=10,ExtraTaal2!A55,IF(LangNo=11,ExtraTaal3!A55,)))))))))))</f>
        <v>Briza 22 (230V) height 54,5 cm, width 22 cm, length 190 cm (Type 10)</v>
      </c>
      <c r="C55" s="590"/>
      <c r="D55" s="590"/>
      <c r="E55" s="590"/>
      <c r="F55" s="590"/>
      <c r="G55" s="590"/>
      <c r="H55" s="590"/>
      <c r="I55" s="590"/>
      <c r="J55" s="590"/>
      <c r="K55" s="590"/>
      <c r="L55" s="590"/>
      <c r="M55" s="590"/>
      <c r="N55" s="590"/>
      <c r="O55" s="590"/>
      <c r="P55" s="590"/>
      <c r="Q55" s="590"/>
      <c r="R55" s="590"/>
      <c r="S55" s="590"/>
      <c r="T55" s="590"/>
      <c r="U55" s="590"/>
      <c r="V55" s="591"/>
      <c r="W55" s="513"/>
      <c r="X55" s="56"/>
      <c r="Y55" s="56"/>
      <c r="Z55" s="56"/>
      <c r="AA55" s="56">
        <f t="shared" si="13"/>
        <v>0</v>
      </c>
      <c r="AB55" s="56" t="str">
        <f t="shared" si="14"/>
        <v>m³/h</v>
      </c>
      <c r="AC55" s="94" t="s">
        <v>9</v>
      </c>
      <c r="AD55" s="94" t="s">
        <v>9</v>
      </c>
      <c r="AE55" s="94" t="s">
        <v>9</v>
      </c>
      <c r="AF55" s="95" t="s">
        <v>70</v>
      </c>
      <c r="AG55" s="94" t="s">
        <v>9</v>
      </c>
      <c r="AH55" s="94" t="s">
        <v>9</v>
      </c>
      <c r="AI55" s="94" t="s">
        <v>9</v>
      </c>
      <c r="AJ55" s="485" t="s">
        <v>70</v>
      </c>
      <c r="AK55" s="485" t="s">
        <v>9</v>
      </c>
      <c r="AL55" s="485" t="s">
        <v>9</v>
      </c>
      <c r="AM55" s="485" t="s">
        <v>9</v>
      </c>
      <c r="AN55" s="485" t="s">
        <v>70</v>
      </c>
      <c r="AO55" s="485" t="s">
        <v>9</v>
      </c>
      <c r="AP55" s="485" t="s">
        <v>9</v>
      </c>
      <c r="AQ55" s="485" t="s">
        <v>9</v>
      </c>
      <c r="AR55" s="487" t="s">
        <v>70</v>
      </c>
      <c r="AS55" s="485" t="s">
        <v>9</v>
      </c>
      <c r="AT55" s="485" t="s">
        <v>9</v>
      </c>
      <c r="AU55" s="485" t="s">
        <v>9</v>
      </c>
      <c r="AV55" s="486" t="str">
        <f t="shared" si="179"/>
        <v>m³/h</v>
      </c>
      <c r="AW55" s="485" t="s">
        <v>9</v>
      </c>
      <c r="AX55" s="485" t="s">
        <v>9</v>
      </c>
      <c r="AY55" s="485" t="s">
        <v>9</v>
      </c>
      <c r="AZ55" s="486" t="str">
        <f t="shared" si="180"/>
        <v>m³/h</v>
      </c>
      <c r="BA55" s="94" t="s">
        <v>9</v>
      </c>
      <c r="BB55" s="94" t="s">
        <v>9</v>
      </c>
      <c r="BC55" s="94" t="s">
        <v>9</v>
      </c>
      <c r="BD55" s="96" t="str">
        <f t="shared" si="181"/>
        <v>m³/h</v>
      </c>
      <c r="BE55" s="94" t="s">
        <v>9</v>
      </c>
      <c r="BF55" s="94" t="s">
        <v>9</v>
      </c>
      <c r="BG55" s="94" t="s">
        <v>9</v>
      </c>
      <c r="BH55" s="96" t="str">
        <f t="shared" si="182"/>
        <v>m³/h</v>
      </c>
      <c r="BJ55" s="182">
        <f>IF($BK$17="11",BO55,IF($BK$17="21",BR55,IF($BK$17="12",BO55,IF($BK$17="22",BR55,IF($BK$17="13",BO55,IF($BK$17="23",BR55,IF($BK$17="14",BO55,IF($BK$17="24",BR55,IF($BK$17="31",BU55,IF($BK$17="41",BX55,IF($BK$17="32",BU55,IF($BK$17="42",BX55,IF($BK$17="33",BU55,IF($BK$17="43",BX55,IF($BK$17="34",BU55,IF($BK$17="44",BX55,))))))))))))))))</f>
        <v>22</v>
      </c>
      <c r="BK55" s="255">
        <f>(BN55+IF(CaseNo=1,0,IF(CaseNo=2,$BN$2,)))*MilInch</f>
        <v>54.5</v>
      </c>
      <c r="BL55" s="255">
        <f>(BJ55+IF(CaseNo=1,0,IF(CaseNo=2,$BN$3,)))*MilInch</f>
        <v>22</v>
      </c>
      <c r="BM55" s="255">
        <f>(BP55+IF(CaseNo=1,0,IF(CaseNo=2,$BN$4,)))*MilInch</f>
        <v>155</v>
      </c>
      <c r="BN55" s="255">
        <v>54.5</v>
      </c>
      <c r="BO55" s="255">
        <v>22</v>
      </c>
      <c r="BP55" s="255">
        <v>155</v>
      </c>
      <c r="BQ55" s="255">
        <v>54.5</v>
      </c>
      <c r="BR55" s="255">
        <v>22</v>
      </c>
      <c r="BS55" s="255">
        <v>155</v>
      </c>
      <c r="BT55" s="255">
        <v>54.5</v>
      </c>
      <c r="BU55" s="255">
        <v>26</v>
      </c>
      <c r="BV55" s="255">
        <v>155</v>
      </c>
      <c r="BW55" s="255">
        <v>54.5</v>
      </c>
      <c r="BX55" s="255">
        <v>26</v>
      </c>
      <c r="BY55" s="255">
        <v>155</v>
      </c>
      <c r="BZ55" s="605" t="str">
        <f>CF55</f>
        <v>T10</v>
      </c>
      <c r="CA55" s="606"/>
      <c r="CB55" s="606"/>
      <c r="CC55" s="606"/>
      <c r="CD55" s="606"/>
      <c r="CE55" s="606"/>
      <c r="CF55" s="607" t="s">
        <v>59</v>
      </c>
      <c r="CG55" s="608"/>
      <c r="CH55" s="608"/>
      <c r="CI55" s="608"/>
      <c r="CJ55" s="608"/>
      <c r="CK55" s="607"/>
      <c r="CL55" s="608"/>
      <c r="CM55" s="609"/>
      <c r="CN55" s="601" t="str">
        <f>CF55</f>
        <v>T10</v>
      </c>
      <c r="CO55" s="596"/>
      <c r="CP55" s="596"/>
      <c r="CQ55" s="596"/>
      <c r="CR55" s="596"/>
      <c r="CS55" s="596"/>
      <c r="CT55" s="596"/>
      <c r="CU55" s="596"/>
      <c r="CV55" s="596"/>
      <c r="CW55" s="596"/>
      <c r="CX55" s="596"/>
      <c r="CY55" s="596"/>
      <c r="CZ55" s="596"/>
      <c r="DA55" s="597"/>
      <c r="DB55" s="601" t="str">
        <f>CF55</f>
        <v>T10</v>
      </c>
      <c r="DC55" s="596"/>
      <c r="DD55" s="596"/>
      <c r="DE55" s="596"/>
      <c r="DF55" s="596"/>
      <c r="DG55" s="596"/>
      <c r="DH55" s="596"/>
      <c r="DI55" s="596"/>
      <c r="DJ55" s="596"/>
      <c r="DK55" s="596"/>
      <c r="DL55" s="596"/>
      <c r="DM55" s="596"/>
      <c r="DN55" s="596"/>
      <c r="DO55" s="597"/>
      <c r="DP55" s="595" t="str">
        <f>CF55</f>
        <v>T10</v>
      </c>
      <c r="DQ55" s="596"/>
      <c r="DR55" s="596"/>
      <c r="DS55" s="596"/>
      <c r="DT55" s="596"/>
      <c r="DU55" s="596"/>
      <c r="DV55" s="596"/>
      <c r="DW55" s="596"/>
      <c r="DX55" s="596"/>
      <c r="DY55" s="596"/>
      <c r="DZ55" s="596"/>
      <c r="EA55" s="596"/>
      <c r="EB55" s="596"/>
      <c r="EC55" s="597"/>
      <c r="ED55" s="596" t="str">
        <f>CF55</f>
        <v>T10</v>
      </c>
      <c r="EE55" s="596"/>
      <c r="EF55" s="596"/>
      <c r="EG55" s="596"/>
      <c r="EH55" s="596"/>
      <c r="EI55" s="596"/>
      <c r="EJ55" s="596"/>
      <c r="EK55" s="596"/>
      <c r="EL55" s="596"/>
      <c r="EM55" s="596"/>
      <c r="EN55" s="596"/>
      <c r="EO55" s="596"/>
      <c r="EP55" s="596"/>
      <c r="EQ55" s="596"/>
      <c r="ER55" s="624" t="s">
        <v>59</v>
      </c>
      <c r="ES55" s="606"/>
      <c r="ET55" s="606"/>
      <c r="EU55" s="606"/>
      <c r="EV55" s="606"/>
      <c r="EW55" s="606"/>
      <c r="EX55" s="606"/>
      <c r="EY55" s="606"/>
      <c r="EZ55" s="625"/>
      <c r="FA55" s="601" t="str">
        <f>ER55</f>
        <v>T10</v>
      </c>
      <c r="FB55" s="596"/>
      <c r="FC55" s="596"/>
      <c r="FD55" s="600"/>
      <c r="FE55" s="171"/>
      <c r="FF55" s="498"/>
      <c r="FG55" s="680"/>
      <c r="FH55" s="681"/>
      <c r="FJ55" s="344"/>
      <c r="FK55" s="241"/>
      <c r="FL55" s="495"/>
      <c r="FM55" s="218"/>
      <c r="FN55" s="226"/>
      <c r="FO55" s="226"/>
      <c r="FP55" s="222"/>
      <c r="FQ55" s="238"/>
      <c r="FR55" s="239"/>
      <c r="FS55" s="242"/>
      <c r="FT55" s="248"/>
      <c r="FU55" s="224"/>
      <c r="FV55" s="238"/>
      <c r="FW55" s="224"/>
      <c r="FX55" s="224"/>
      <c r="FY55" s="224"/>
      <c r="FZ55" s="224"/>
      <c r="GA55" s="500"/>
      <c r="GC55" s="161"/>
      <c r="GE55" s="259"/>
      <c r="GG55" s="305"/>
      <c r="GH55" s="305"/>
      <c r="GI55" s="305"/>
      <c r="GJ55" s="305"/>
      <c r="GK55" s="305"/>
      <c r="GL55" s="305"/>
      <c r="GM55" s="305"/>
      <c r="GN55" s="305"/>
      <c r="GO55" s="306"/>
      <c r="GQ55" s="305"/>
      <c r="GR55" s="305"/>
      <c r="GS55" s="305"/>
      <c r="GT55" s="305"/>
      <c r="GU55" s="305"/>
      <c r="GV55" s="307"/>
      <c r="GW55" s="307"/>
      <c r="GX55" s="305"/>
      <c r="GY55" s="305"/>
      <c r="GZ55" s="305"/>
      <c r="HA55" s="305"/>
      <c r="HB55" s="305"/>
      <c r="HC55" s="305"/>
      <c r="HD55" s="529">
        <f t="shared" si="103"/>
        <v>0</v>
      </c>
      <c r="HE55" s="57" t="e">
        <f t="shared" si="7"/>
        <v>#VALUE!</v>
      </c>
      <c r="HF55" s="57" t="e">
        <f>IF(Geg_dP&lt;$AB55,((($BL$18*($HE55/Cubics)^4+$BL$19*($HE55/Cubics)^3+$BL$20*($HE55/Cubics)^2+$BL$21*($HE55/Cubics)^1+$BL$22)*((CF_Regime_Cool_noExp)^$Y55)))*CF_Addit*Watts*CF_Altit,Lim_dP)</f>
        <v>#VALUE!</v>
      </c>
      <c r="HG55" s="525" t="e">
        <f t="shared" si="9"/>
        <v>#VALUE!</v>
      </c>
      <c r="HH55" s="57" t="e">
        <f t="shared" si="10"/>
        <v>#VALUE!</v>
      </c>
      <c r="HI55" s="503" t="e">
        <f t="shared" si="75"/>
        <v>#VALUE!</v>
      </c>
      <c r="HJ55" s="2" t="e">
        <f t="shared" si="90"/>
        <v>#VALUE!</v>
      </c>
      <c r="HK55" s="503" t="e">
        <f t="shared" si="76"/>
        <v>#VALUE!</v>
      </c>
      <c r="HL55" s="682" t="s">
        <v>59</v>
      </c>
      <c r="HM55" s="683"/>
      <c r="HN55" s="683"/>
      <c r="HO55" s="683"/>
      <c r="HP55" s="683"/>
      <c r="HQ55" s="683"/>
      <c r="HR55" s="683"/>
      <c r="HS55" s="683"/>
      <c r="HT55" s="683"/>
      <c r="HU55" s="683"/>
      <c r="HV55" s="683"/>
      <c r="HW55" s="683"/>
      <c r="HX55" s="683"/>
      <c r="HY55" s="683"/>
      <c r="HZ55" s="683"/>
      <c r="IA55" s="683"/>
      <c r="IB55" s="683"/>
      <c r="IC55" s="683"/>
      <c r="IE55" s="161"/>
      <c r="IG55" s="259"/>
      <c r="II55" s="305"/>
      <c r="IJ55" s="305"/>
    </row>
    <row r="56" spans="1:244" ht="15" customHeight="1" x14ac:dyDescent="0.25">
      <c r="B56" s="195">
        <f>IF($AL$5=1,$C56/10,IF($AL$5=2,$C56/10,IF($AL$5=3,0,IF($AL$5=4,$C56/10,))))</f>
        <v>0.2</v>
      </c>
      <c r="C56" s="336">
        <v>2</v>
      </c>
      <c r="D56" s="329">
        <f t="shared" ref="D56:D62" si="361">IF(Geg_dP&lt;AB56,((($BK$56*($N56/Cubics)^4+$BK$57*($N56/Cubics)^3+$BK$59*($N56/Cubics)^2+$BK$61*($N56/Cubics)^1+$BK$62)*((CF_Regime_Heat_noExp)^$AA56)))*CF_Addit*Watts*CF_Altit,Lim_dP)</f>
        <v>7001.6513704057716</v>
      </c>
      <c r="E56" s="30">
        <f t="shared" ref="E56:E62" si="362">IF(Geg_dP&lt;$AB56,ROUND((($D56/Watts)/((Tv_heat-Tr_heat)*1.163))*FlowH2O,IF(UnitsNo=1,0,IF(UnitsNo=2,2))),"")</f>
        <v>602</v>
      </c>
      <c r="F56" s="330">
        <f t="shared" ref="F56:F62" si="363">IF(Geg_dP&lt;$AB56,IF((($BM$56*(E56/FlowH2O)^$BM$57))*kPa&gt;0,(($BM$56*(E56/FlowH2O)^$BM$57))*kPa,0),"")</f>
        <v>3.8851789025636574</v>
      </c>
      <c r="G56" s="329">
        <f t="shared" ref="G56:G62" si="364">IF(Geg_dP&lt;$AB56,((($BL$56*($N56/Cubics)^4+$BL$57*($N56/Cubics)^3+$BL$59*($N56/Cubics)^2+$BL$61*($N56/Cubics)^1+$BL$62)*((CF_Regime_Cool_noExp)^$Y56)))*CF_Addit*Watts*CF_Altit,Lim_dP)</f>
        <v>1449.7076355441104</v>
      </c>
      <c r="H56" s="32">
        <f t="shared" ref="H56:H62" si="365">IF(Geg_dP&lt;$AB56,((G56/Watts)/(IF((237.3*LN((RH*EXP(17.27*(Tl_cool/(Tl_cool+237.3))))))/(17.27-LN((RH*EXP(17.27*(Tl_cool/(Tl_cool+237.3))))))&lt;EZ56,1,IF(1/(1+((2258*((0.622/((101325/(1*611*EXP(17.27*(EZ56/(EZ56+237.3))))))-1)*1000-(0.622/((101325/(RH*611*EXP(17.27*(Tl_cool/(Tl_cool+237.3))))))-1)*1000))/(1005*(Tavg_cold-Tl_cool))))&gt;1,1,1/(1+((2258*((0.622/((101325/(1*611*EXP(17.27*(EZ56/(EZ56+237.3))))))-1)*1000-(0.622/((101325/(RH*611*EXP(17.27*(Tl_cool/(Tl_cool+237.3))))))-1)*1000))/(1005*(Tavg_cold-Tl_cool))))))))*Watts,"")</f>
        <v>1449.7076355441104</v>
      </c>
      <c r="I56" s="30">
        <f>IF(Geg_dP&lt;AB56,ROUND(((IF('Briza 22 &amp; 26'!$M$4="High Perform. 208/230V (US/EU)",cal!HK56,H56)/Watts)/((Tr_cool-Tv_cool)*1.163))*FlowH2O,IF(UnitsNo=1,0,IF(UnitsNo=2,2))),"")</f>
        <v>623</v>
      </c>
      <c r="J56" s="330">
        <f t="shared" ref="J56:J62" si="366">IF(Geg_dP&lt;$AB56,IF((($BM$61*(I56/FlowH2O)^$BM$62))*kPa&gt;0,(($BM$61*(I56/FlowH2O)^$BM$62))*kPa,0),"")</f>
        <v>4.1355262122926231</v>
      </c>
      <c r="K56" s="333">
        <f t="shared" ref="K56:K62" si="367">IF(Geg_dP&lt;AB56,IF($L56-8&lt;0,0,$L56-8),"")</f>
        <v>31.5</v>
      </c>
      <c r="L56" s="297">
        <f>IF(Geg_dP&lt;$AB56,IF(CalcNo="12",$ET56,IF(CalcNo="22",$ET56,IF(CalcNo="13",$EU56,IF(CalcNo="23",$EU56,IF(CalcNo="11",$ER56,IF(CalcNo="21",$ER56,IF(CalcNo="14",$ES56,IF(CalcNo="24",$ES56,IF(CalcNo="32",$EX56,IF(CalcNo="42",$EX56,IF(CalcNo="33",$EY56,IF(CalcNo="43",$EY56,IF(CalcNo="31",$EV56,IF(CalcNo="41",$EV56,IF(CalcNo="34",$EW56,IF(CalcNo="44",$EW56,)))))))))))))))),"")</f>
        <v>39.5</v>
      </c>
      <c r="M56" s="198">
        <f t="shared" ref="M56:M61" si="368">IF(Geg_dP&lt;$AB56,($CF56*(($N56/Cubics)^4))+($CG56*(($N56/Cubics)^3))+($CH56*(($N56/Cubics)^2))+($CI56*($N56/Cubics))+$CJ56,"")</f>
        <v>11.09810395803566</v>
      </c>
      <c r="N56" s="197">
        <f t="shared" ref="N56:N62" si="369">IF(Geg_dP&lt;$AB56,(BZ56*Geg_dP^5+CA56*Geg_dP^4+CB56*Geg_dP^3+CC56*Geg_dP^2+CD56*Geg_dP+CE56)*CF_Case*Cubics,"")</f>
        <v>548.888779</v>
      </c>
      <c r="O56" s="480">
        <f t="shared" ref="O56:O62" si="370">IF(Geg_dP&lt;$AB56,(($N56/Cubics)/3600)/(($BJ$63/100)*($BP$63/100))*FeetMins,"")</f>
        <v>0.36475862506645401</v>
      </c>
      <c r="P56" s="198">
        <f t="shared" ref="P56:P62" si="371">IF(Geg_dP&lt;$AB56,((($D56/Watts)/(((p_atm*0.028964)/(8.31447*(20+273.15)))*(($N56/3600)/Cubics)*(1005+1870*((0.622)/(((p_atm)/($E$14*pvs_heat_in))-1)))))+Tl_heat)*Celc1+Celc2,"")</f>
        <v>57.443110362034005</v>
      </c>
      <c r="Q56" s="297">
        <f t="shared" ref="Q56:Q62" si="372">IF(Geg_dP&lt;$AB56,(27.8*LN(($GN56+36)/45.5))*Celc1+Celc2,"")</f>
        <v>25.197433163867775</v>
      </c>
      <c r="R56" s="509">
        <f t="shared" ref="R56:R62" si="373">IF(Geg_dP&lt;$AB56,(Tl_cool-(($G56/Watts)/(1006*$N56*kgss)))*Celc1+Celc2,"")</f>
        <v>19.14991956153699</v>
      </c>
      <c r="S56" s="36">
        <f t="shared" ref="S56:S62" si="374">IF(Geg_dP&lt;$AB56,IF((27.8*LN(($HA56+36)/45.5))*Celc1+Celc2&gt;R56,R56,(27.8*LN(($HA56+36)/45.5))*Celc1+Celc2),"")</f>
        <v>16.853478410130663</v>
      </c>
      <c r="T56" s="300">
        <f t="shared" ref="T56:T62" si="375">IF(Geg_dP&lt;$AB56,IF($H56&gt;$G56,1,IF(($GT56/$GR56)&lt;0,0,$GT56/$GR56)),"")</f>
        <v>0.8031893880966785</v>
      </c>
      <c r="U56" s="416">
        <f>IF(Geg_dP&lt;$AB56,$CK56*($N56/Cubics)^2+$CL56*($N56/Cubics)^1+$CM56,"")</f>
        <v>430.12291215507588</v>
      </c>
      <c r="V56" s="483">
        <f t="shared" ref="V56:V62" si="376">M56/((N56/Cubics)/3.6)</f>
        <v>7.2789198426897295E-2</v>
      </c>
      <c r="W56" s="513">
        <f t="shared" ref="W56:W62" si="377">(G56/Watts)/(N56/Cubics)</f>
        <v>2.6411682858324754</v>
      </c>
      <c r="X56" s="56">
        <f t="shared" si="1"/>
        <v>0.98161799999999999</v>
      </c>
      <c r="Y56" s="56">
        <f t="shared" si="166"/>
        <v>1.2733000000000001</v>
      </c>
      <c r="Z56" s="56">
        <f t="shared" si="167"/>
        <v>1.0929199999999999</v>
      </c>
      <c r="AA56" s="56">
        <f t="shared" si="13"/>
        <v>0.98161799999999999</v>
      </c>
      <c r="AB56" s="56">
        <f t="shared" si="14"/>
        <v>6.4822500000000005</v>
      </c>
      <c r="AC56" s="95">
        <v>0.98161799999999999</v>
      </c>
      <c r="AD56" s="95">
        <v>1.2733000000000001</v>
      </c>
      <c r="AE56" s="95">
        <v>1.0929199999999999</v>
      </c>
      <c r="AF56" s="96">
        <v>5</v>
      </c>
      <c r="AG56" s="95">
        <v>0.98161799999999999</v>
      </c>
      <c r="AH56" s="95">
        <v>1.2733000000000001</v>
      </c>
      <c r="AI56" s="95">
        <v>1.0929199999999999</v>
      </c>
      <c r="AJ56" s="486">
        <v>8</v>
      </c>
      <c r="AK56" s="487">
        <v>0.98161799999999999</v>
      </c>
      <c r="AL56" s="487">
        <v>1.2733000000000001</v>
      </c>
      <c r="AM56" s="487">
        <v>1.0929199999999999</v>
      </c>
      <c r="AN56" s="486">
        <v>6.4822500000000005</v>
      </c>
      <c r="AO56" s="487">
        <v>0.99547421584491202</v>
      </c>
      <c r="AP56" s="487">
        <v>1.174754876804744</v>
      </c>
      <c r="AQ56" s="487">
        <v>1.1067294843129272</v>
      </c>
      <c r="AR56" s="486">
        <v>22.425000000000001</v>
      </c>
      <c r="AS56" s="487">
        <v>0.98161799999999999</v>
      </c>
      <c r="AT56" s="487">
        <v>1.2733000000000001</v>
      </c>
      <c r="AU56" s="487">
        <v>1.0929199999999999</v>
      </c>
      <c r="AV56" s="486">
        <f t="shared" si="179"/>
        <v>5</v>
      </c>
      <c r="AW56" s="487">
        <v>0.98161799999999999</v>
      </c>
      <c r="AX56" s="487">
        <v>1.2733000000000001</v>
      </c>
      <c r="AY56" s="487">
        <v>1.0929199999999999</v>
      </c>
      <c r="AZ56" s="486">
        <f t="shared" si="180"/>
        <v>8</v>
      </c>
      <c r="BA56" s="95">
        <v>1.0049716964208173</v>
      </c>
      <c r="BB56" s="95">
        <v>1.2385624038262057</v>
      </c>
      <c r="BC56" s="95">
        <v>1.1162269648888619</v>
      </c>
      <c r="BD56" s="96">
        <f t="shared" si="181"/>
        <v>6.4822500000000005</v>
      </c>
      <c r="BE56" s="95">
        <v>0.96936773239038132</v>
      </c>
      <c r="BF56" s="95">
        <v>1.0702467091432031</v>
      </c>
      <c r="BG56" s="95">
        <v>1.0806230008584556</v>
      </c>
      <c r="BH56" s="96">
        <f t="shared" si="182"/>
        <v>22.425000000000001</v>
      </c>
      <c r="BJ56" s="182"/>
      <c r="BK56" s="80">
        <f t="shared" ref="BK56:BM57" si="378">IF($BK$17="11",BN56,IF($BK$17="21",BQ56,IF($BK$17="12",BN56,IF($BK$17="22",BQ56,IF($BK$17="13",BN56,IF($BK$17="23",BQ56,IF($BK$17="14",BN56,IF($BK$17="24",BQ56,IF($BK$17="31",BT56,IF($BK$17="41",BW56,IF($BK$17="32",BT56,IF($BK$17="42",BW56,IF($BK$17="33",BT56,IF($BK$17="43",BW56,IF($BK$17="34",BT56,IF($BK$17="44",BW56,))))))))))))))))</f>
        <v>0</v>
      </c>
      <c r="BL56" s="81">
        <f t="shared" si="378"/>
        <v>0</v>
      </c>
      <c r="BM56" s="87">
        <f t="shared" si="378"/>
        <v>3.3678199999999999E-5</v>
      </c>
      <c r="BN56" s="97"/>
      <c r="BO56" s="97"/>
      <c r="BP56" s="105">
        <f>BP61</f>
        <v>3.3678199999999999E-5</v>
      </c>
      <c r="BQ56" s="97"/>
      <c r="BR56" s="97">
        <f>BO56</f>
        <v>0</v>
      </c>
      <c r="BS56" s="105">
        <v>2.0022897829E-4</v>
      </c>
      <c r="BT56" s="97"/>
      <c r="BU56" s="97"/>
      <c r="BV56" s="105">
        <f>BV61</f>
        <v>1.6204339999999999E-5</v>
      </c>
      <c r="BW56" s="97"/>
      <c r="BX56" s="97"/>
      <c r="BY56" s="105">
        <f>BS56</f>
        <v>2.0022897829E-4</v>
      </c>
      <c r="BZ56" s="128">
        <f t="shared" ref="BZ56:CA62" si="379">IF($BK$17="11",CN56,IF($BK$17="21",CN56,IF($BK$17="12",DP56,IF($BK$17="22",DP56,IF($BK$17="13",ED56,IF($BK$17="23",ED56,IF($BK$17="14",DB56,IF($BK$17="24",DB56,IF($BK$17="31",CN56,IF($BK$17="41",CN56,IF($BK$17="32",DP56,IF($BK$17="42",DP56,IF($BK$17="33",ED56,IF($BK$17="43",ED56,IF($BK$17="34",DB56,IF($BK$17="44",DB56,))))))))))))))))</f>
        <v>0</v>
      </c>
      <c r="CA56" s="129">
        <f t="shared" si="379"/>
        <v>0</v>
      </c>
      <c r="CB56" s="129">
        <f t="shared" ref="CB56:CB62" si="380">IF($BK$17="11",CP56,IF($BK$17="21",CP56,IF($BK$17="12",DR56,IF($BK$17="22",DR56,IF($BK$17="13",EF56,IF($BK$17="23",EF56,IF($BK$17="14",DD56,IF($BK$17="24",DD56,IF($BK$17="31",CP56,IF($BK$17="41",CP56,IF($BK$17="32",DR56,IF($BK$17="42",DR56,IF($BK$17="33",EF56,IF($BK$17="43",EF56,IF($BK$17="34",DD56,IF($BK$17="44",DD56,))))))))))))))))</f>
        <v>-0.82650575699999995</v>
      </c>
      <c r="CC56" s="129">
        <f t="shared" ref="CC56:CC62" si="381">IF($BK$17="11",CQ56,IF($BK$17="21",CQ56,IF($BK$17="12",DS56,IF($BK$17="22",DS56,IF($BK$17="13",EG56,IF($BK$17="23",EG56,IF($BK$17="14",DE56,IF($BK$17="24",DE56,IF($BK$17="31",CQ56,IF($BK$17="41",CQ56,IF($BK$17="32",DS56,IF($BK$17="42",DS56,IF($BK$17="33",EG56,IF($BK$17="43",EG56,IF($BK$17="34",DE56,IF($BK$17="44",DE56,))))))))))))))))</f>
        <v>7.3955499099999997</v>
      </c>
      <c r="CD56" s="129">
        <f t="shared" ref="CD56:CD62" si="382">IF($BK$17="11",CR56,IF($BK$17="21",CR56,IF($BK$17="12",DT56,IF($BK$17="22",DT56,IF($BK$17="13",EH56,IF($BK$17="23",EH56,IF($BK$17="14",DF56,IF($BK$17="24",DF56,IF($BK$17="31",CR56,IF($BK$17="41",CR56,IF($BK$17="32",DT56,IF($BK$17="42",DT56,IF($BK$17="33",EH56,IF($BK$17="43",EH56,IF($BK$17="34",DF56,IF($BK$17="44",DF56,))))))))))))))))</f>
        <v>-53.698725500000002</v>
      </c>
      <c r="CE56" s="130">
        <f t="shared" ref="CE56:CE62" si="383">IF($BK$17="11",CS56,IF($BK$17="21",CS56,IF($BK$17="12",DU56,IF($BK$17="22",DU56,IF($BK$17="13",EI56,IF($BK$17="23",EI56,IF($BK$17="14",DG56,IF($BK$17="24",DG56,IF($BK$17="31",CS56,IF($BK$17="41",CS56,IF($BK$17="32",DU56,IF($BK$17="42",DU56,IF($BK$17="33",EI56,IF($BK$17="43",EI56,IF($BK$17="34",DG56,IF($BK$17="44",DG56,))))))))))))))))</f>
        <v>548.888779</v>
      </c>
      <c r="CF56" s="128">
        <f t="shared" ref="CF56:CF62" si="384">IF($BK$17="11",CT56,IF($BK$17="21",CT56,IF($BK$17="12",DV56,IF($BK$17="22",DV56,IF($BK$17="13",EJ56,IF($BK$17="23",EJ56,IF($BK$17="14",DH56,IF($BK$17="24",DH56,IF($BK$17="31",CT56,IF($BK$17="41",CT56,IF($BK$17="32",DV56,IF($BK$17="42",DV56,IF($BK$17="33",EJ56,IF($BK$17="43",EJ56,IF($BK$17="34",DH56,IF($BK$17="44",DH56,))))))))))))))))</f>
        <v>0</v>
      </c>
      <c r="CG56" s="129">
        <f t="shared" ref="CG56:CG62" si="385">IF($BK$17="11",CU56,IF($BK$17="21",CU56,IF($BK$17="12",DW56,IF($BK$17="22",DW56,IF($BK$17="13",EK56,IF($BK$17="23",EK56,IF($BK$17="14",DI56,IF($BK$17="24",DI56,IF($BK$17="31",CU56,IF($BK$17="41",CU56,IF($BK$17="32",DW56,IF($BK$17="42",DW56,IF($BK$17="33",EK56,IF($BK$17="43",EK56,IF($BK$17="34",DI56,IF($BK$17="44",DI56,))))))))))))))))</f>
        <v>1.7041654299999999E-7</v>
      </c>
      <c r="CH56" s="129">
        <f t="shared" ref="CH56:CH62" si="386">IF($BK$17="11",CV56,IF($BK$17="21",CV56,IF($BK$17="12",DX56,IF($BK$17="22",DX56,IF($BK$17="13",EL56,IF($BK$17="23",EL56,IF($BK$17="14",DJ56,IF($BK$17="24",DJ56,IF($BK$17="31",CV56,IF($BK$17="41",CV56,IF($BK$17="32",DX56,IF($BK$17="42",DX56,IF($BK$17="33",EL56,IF($BK$17="43",EL56,IF($BK$17="34",DJ56,IF($BK$17="44",DJ56,))))))))))))))))</f>
        <v>-2.3009216600000001E-4</v>
      </c>
      <c r="CI56" s="129">
        <f t="shared" ref="CI56:CI62" si="387">IF($BK$17="11",CW56,IF($BK$17="21",CW56,IF($BK$17="12",DY56,IF($BK$17="22",DY56,IF($BK$17="13",EM56,IF($BK$17="23",EM56,IF($BK$17="14",DK56,IF($BK$17="24",DK56,IF($BK$17="31",CW56,IF($BK$17="41",CW56,IF($BK$17="32",DY56,IF($BK$17="42",DY56,IF($BK$17="33",EM56,IF($BK$17="43",EM56,IF($BK$17="34",DK56,IF($BK$17="44",DK56,))))))))))))))))</f>
        <v>0.106463551</v>
      </c>
      <c r="CJ56" s="129">
        <f t="shared" ref="CJ56:CJ62" si="388">IF($BK$17="11",CX56,IF($BK$17="21",CX56,IF($BK$17="12",DZ56,IF($BK$17="22",DZ56,IF($BK$17="13",EN56,IF($BK$17="23",EN56,IF($BK$17="14",DL56,IF($BK$17="24",DL56,IF($BK$17="31",CX56,IF($BK$17="41",CX56,IF($BK$17="32",DZ56,IF($BK$17="42",DZ56,IF($BK$17="33",EN56,IF($BK$17="43",EN56,IF($BK$17="34",DL56,IF($BK$17="44",DL56,))))))))))))))))</f>
        <v>-6.1981774400000003</v>
      </c>
      <c r="CK56" s="128">
        <f t="shared" ref="CK56:CK62" si="389">IF($BK$17="11",CY56,IF($BK$17="21",CY56,IF($BK$17="12",EA56,IF($BK$17="22",EA56,IF($BK$17="13",EO56,IF($BK$17="23",EO56,IF($BK$17="14",DM56,IF($BK$17="24",DM56,IF($BK$17="31",CY56,IF($BK$17="41",CY56,IF($BK$17="32",EA56,IF($BK$17="42",EA56,IF($BK$17="33",EO56,IF($BK$17="43",EO56,IF($BK$17="34",DM56,IF($BK$17="44",DM56,))))))))))))))))</f>
        <v>0</v>
      </c>
      <c r="CL56" s="129">
        <f t="shared" ref="CL56:CL62" si="390">IF($BK$17="11",CZ56,IF($BK$17="21",CZ56,IF($BK$17="12",EB56,IF($BK$17="22",EB56,IF($BK$17="13",EP56,IF($BK$17="23",EP56,IF($BK$17="14",DN56,IF($BK$17="24",DN56,IF($BK$17="31",CZ56,IF($BK$17="41",CZ56,IF($BK$17="32",EB56,IF($BK$17="42",EB56,IF($BK$17="33",EP56,IF($BK$17="43",EP56,IF($BK$17="34",DN56,IF($BK$17="44",DN56,))))))))))))))))</f>
        <v>-0.109500185</v>
      </c>
      <c r="CM56" s="130">
        <f t="shared" ref="CM56:CM62" si="391">IF($BK$17="11",DA56,IF($BK$17="21",DA56,IF($BK$17="12",EC56,IF($BK$17="22",EC56,IF($BK$17="13",EQ56,IF($BK$17="23",EQ56,IF($BK$17="14",DO56,IF($BK$17="24",DO56,IF($BK$17="31",DA56,IF($BK$17="41",DA56,IF($BK$17="32",EC56,IF($BK$17="42",EC56,IF($BK$17="33",EQ56,IF($BK$17="43",EQ56,IF($BK$17="34",DO56,IF($BK$17="44",DO56,))))))))))))))))</f>
        <v>490.22633500000001</v>
      </c>
      <c r="CN56" s="347"/>
      <c r="CO56" s="385"/>
      <c r="CP56" s="110">
        <v>-8.4400805600000002</v>
      </c>
      <c r="CQ56" s="110">
        <v>25.349729199999999</v>
      </c>
      <c r="CR56" s="110">
        <v>-55.699720399999997</v>
      </c>
      <c r="CS56" s="111">
        <v>350.02975199999997</v>
      </c>
      <c r="CT56" s="347"/>
      <c r="CU56" s="389"/>
      <c r="CV56" s="385"/>
      <c r="CW56" s="110">
        <v>2.94996535E-3</v>
      </c>
      <c r="CX56" s="170">
        <v>7.01110188</v>
      </c>
      <c r="CY56" s="349"/>
      <c r="CZ56" s="110">
        <v>-7.4501299500000007E-2</v>
      </c>
      <c r="DA56" s="421">
        <v>349.07282400000003</v>
      </c>
      <c r="DB56" s="356"/>
      <c r="DC56" s="110">
        <v>1.7515389199999998E-2</v>
      </c>
      <c r="DD56" s="110">
        <v>-0.30994756299999998</v>
      </c>
      <c r="DE56" s="110">
        <v>1.5075025099999999</v>
      </c>
      <c r="DF56" s="110">
        <v>-44.934067400000004</v>
      </c>
      <c r="DG56" s="111">
        <v>402.511797</v>
      </c>
      <c r="DH56" s="356"/>
      <c r="DI56" s="112">
        <v>-2.13538697E-8</v>
      </c>
      <c r="DJ56" s="110">
        <v>1.59440791E-5</v>
      </c>
      <c r="DK56" s="110">
        <v>5.6093986300000001E-4</v>
      </c>
      <c r="DL56" s="111">
        <v>8.4241512800000002</v>
      </c>
      <c r="DM56" s="110">
        <v>-1.05558322E-4</v>
      </c>
      <c r="DN56" s="110">
        <v>1.2938752599999999E-3</v>
      </c>
      <c r="DO56" s="421">
        <v>499.04009600000001</v>
      </c>
      <c r="DP56" s="428"/>
      <c r="DQ56" s="385"/>
      <c r="DR56" s="110">
        <v>-0.82650575699999995</v>
      </c>
      <c r="DS56" s="110">
        <v>7.3955499099999997</v>
      </c>
      <c r="DT56" s="110">
        <v>-53.698725500000002</v>
      </c>
      <c r="DU56" s="111">
        <v>548.888779</v>
      </c>
      <c r="DV56" s="376"/>
      <c r="DW56" s="125">
        <v>1.7041654299999999E-7</v>
      </c>
      <c r="DX56" s="121">
        <v>-2.3009216600000001E-4</v>
      </c>
      <c r="DY56" s="121">
        <v>0.106463551</v>
      </c>
      <c r="DZ56" s="122">
        <v>-6.1981774400000003</v>
      </c>
      <c r="EA56" s="349"/>
      <c r="EB56" s="110">
        <v>-0.109500185</v>
      </c>
      <c r="EC56" s="421">
        <v>490.22633500000001</v>
      </c>
      <c r="ED56" s="428"/>
      <c r="EE56" s="385"/>
      <c r="EF56" s="110">
        <v>6.8655353099999997E-2</v>
      </c>
      <c r="EG56" s="110">
        <v>-1.2242765200000001</v>
      </c>
      <c r="EH56" s="110">
        <v>-30.333151900000001</v>
      </c>
      <c r="EI56" s="111">
        <v>901.4701</v>
      </c>
      <c r="EJ56" s="376"/>
      <c r="EK56" s="112">
        <v>9.1970983099999996E-8</v>
      </c>
      <c r="EL56" s="110">
        <v>-1.90115219E-4</v>
      </c>
      <c r="EM56" s="110">
        <v>0.138063562</v>
      </c>
      <c r="EN56" s="111">
        <v>-11.4368091</v>
      </c>
      <c r="EO56" s="376"/>
      <c r="EP56" s="394">
        <v>-2.09147267E-2</v>
      </c>
      <c r="EQ56" s="430">
        <v>635.76459199999999</v>
      </c>
      <c r="ER56" s="456">
        <v>39.5</v>
      </c>
      <c r="ES56" s="362"/>
      <c r="ET56" s="457">
        <v>39.5</v>
      </c>
      <c r="EU56" s="362"/>
      <c r="EV56" s="457">
        <f>EX56</f>
        <v>37</v>
      </c>
      <c r="EW56" s="362"/>
      <c r="EX56" s="457">
        <v>37</v>
      </c>
      <c r="EY56" s="359"/>
      <c r="EZ56" s="137">
        <f t="shared" ref="EZ56:EZ62" si="392">IF($BK$17="11",FA56,IF($BK$17="21",FA56,IF($BK$17="12",FC56,IF($BK$17="22",FC56,IF($BK$17="13",FD56,IF($BK$17="23",FD56,IF($BK$17="14",FB56,IF($BK$17="24",FB56,IF($BK$17="31",FE56,IF($BK$17="41",FE56,IF($BK$17="32",FG56,IF($BK$17="42",FG56,IF($BK$17="33",FH56,IF($BK$17="43",FH56,IF($BK$17="34",FF56,IF($BK$17="44",FF56,))))))))))))))))</f>
        <v>17.5</v>
      </c>
      <c r="FA56" s="143">
        <f>Tavg_cold</f>
        <v>17</v>
      </c>
      <c r="FB56" s="143">
        <f t="shared" ref="FB56:FB62" si="393">IF($GC56&lt;=$FC56,$FC56,IF($FM56&lt;=$FP56,$FC56,$FZ56))</f>
        <v>17.5</v>
      </c>
      <c r="FC56" s="143">
        <f t="shared" ref="FC56:FC62" si="394">IF($N56&gt;$FN56,Tavg_cold+(0.5*(Tr_cool-Tavg_cold)),Tavg_cold+($FJ56*(Tr_cool-Tavg_cold)))</f>
        <v>17.5</v>
      </c>
      <c r="FD56" s="143">
        <f t="shared" ref="FD56:FD62" si="395">IF($GC56&lt;=$FC56,$FC56,IF($FM56&lt;=$FP56,$FC56,$FZ56))</f>
        <v>17.5</v>
      </c>
      <c r="FE56" s="168">
        <f>FH56*1.04</f>
        <v>18.2</v>
      </c>
      <c r="FF56" s="497">
        <f t="shared" ref="FF56:FF61" si="396">IF($GC56&lt;=$FU56,$FU56,IF($FM56&lt;=$FP56,Tavg_cold,$GA56))</f>
        <v>17.5</v>
      </c>
      <c r="FG56" s="497">
        <f>FH56*1.05</f>
        <v>18.375</v>
      </c>
      <c r="FH56" s="497">
        <f t="shared" ref="FH56:FH62" si="397">IF($GC56&lt;=$FU56,$FU56,IF($FM56&lt;=$FP56,Tavg_cold,$GA56))</f>
        <v>17.5</v>
      </c>
      <c r="FJ56" s="344">
        <f t="shared" ref="FJ56:FJ62" si="398">0.5*(1-((FN56-N56)/FN56))</f>
        <v>0.5</v>
      </c>
      <c r="FK56" s="241">
        <f t="shared" ref="FK56:FK62" si="399">(0.025*Tl_cool)+0.3075</f>
        <v>0.98250000000000004</v>
      </c>
      <c r="FL56" s="495">
        <f t="shared" ref="FL56:FL62" si="400">(0.13*Tl_cool)-2.04</f>
        <v>1.4700000000000002</v>
      </c>
      <c r="FM56" s="230">
        <f>FQ56/FO56</f>
        <v>0.60888184644171783</v>
      </c>
      <c r="FN56" s="226">
        <f>DU56</f>
        <v>548.888779</v>
      </c>
      <c r="FO56" s="226">
        <f>EI56</f>
        <v>901.4701</v>
      </c>
      <c r="FP56" s="222">
        <f>FN56/FO56</f>
        <v>0.60888184644171783</v>
      </c>
      <c r="FQ56" s="238">
        <f t="shared" ref="FQ56:FQ62" si="401">N56/Cubics</f>
        <v>548.888779</v>
      </c>
      <c r="FR56" s="241">
        <f t="shared" ref="FR56:FR62" si="402">IF(FQ56-(FP56*FO56)&lt;=0,0,FQ56-(FP56*FO56))</f>
        <v>0</v>
      </c>
      <c r="FS56" s="242">
        <f>FO56*(1-FP56)</f>
        <v>352.581321</v>
      </c>
      <c r="FT56" s="248">
        <f>IF((FR56/FS56)&gt;1,1,FR56/FS56)</f>
        <v>0</v>
      </c>
      <c r="FU56" s="224">
        <f t="shared" ref="FU56:FU62" si="403">FC56</f>
        <v>17.5</v>
      </c>
      <c r="FV56" s="224">
        <f t="shared" ref="FV56:FV62" si="404">Tr_cool*FK56</f>
        <v>17.685000000000002</v>
      </c>
      <c r="FW56" s="224">
        <f t="shared" ref="FW56:FW62" si="405">ABS(FV56-FU56)</f>
        <v>0.18500000000000227</v>
      </c>
      <c r="FX56" s="224">
        <f t="shared" ref="FX56:FX62" si="406">Tv_cool*FL56</f>
        <v>23.520000000000003</v>
      </c>
      <c r="FY56" s="224">
        <f t="shared" ref="FY56:FY62" si="407">ABS(FX56-FU56)</f>
        <v>6.0200000000000031</v>
      </c>
      <c r="FZ56" s="224">
        <f t="shared" ref="FZ56:FZ62" si="408">IF(FM56&lt;=FP56,FU56,FU56+(FT56*FW56))</f>
        <v>17.5</v>
      </c>
      <c r="GA56" s="500">
        <f t="shared" ref="GA56:GA62" si="409">FU56+(FT56*FY56)</f>
        <v>17.5</v>
      </c>
      <c r="GC56" s="161">
        <f t="shared" ref="GC56:GC62" si="410">(237.3*LN((RH*EXP(17.27*(Tl_cool/(Tl_cool+237.3))))))/(17.27-LN((RH*EXP(17.27*(Tl_cool/(Tl_cool+237.3))))))</f>
        <v>15.69066559142683</v>
      </c>
      <c r="GE56" s="259">
        <f t="shared" ref="GE56:GE62" si="411">(H56-G56)/H56</f>
        <v>0</v>
      </c>
      <c r="GG56" s="305">
        <f t="shared" ref="GG56:GG62" si="412">(611*EXP(17.27*(Tl_heat/(Tl_heat+237.7))))</f>
        <v>2334.1781978570243</v>
      </c>
      <c r="GH56" s="305">
        <f t="shared" ref="GH56:GH62" si="413">(611*EXP(17.27*((($P56-Celc2)/Celc1)/((($P56-Celc2)/Celc1)+237.7))))</f>
        <v>17611.763672266741</v>
      </c>
      <c r="GI56" s="305">
        <f t="shared" ref="GI56:GI62" si="414">RH*$GG56</f>
        <v>1167.0890989285122</v>
      </c>
      <c r="GJ56" s="305">
        <f t="shared" ref="GJ56:GJ62" si="415">(GL56*p_atm)/(GL56+0.622)</f>
        <v>1167.0890989285119</v>
      </c>
      <c r="GK56" s="305">
        <f t="shared" ref="GK56:GK62" si="416">0.622*($GI56/(p_atm-$GI56))</f>
        <v>7.2478490515896785E-3</v>
      </c>
      <c r="GL56" s="305">
        <f t="shared" si="15"/>
        <v>7.2478490515896785E-3</v>
      </c>
      <c r="GM56" s="305">
        <f t="shared" ref="GM56:GM62" si="417">(1.005*Tl_heat)+($GK56*(2500+(1.87*Tl_heat)))</f>
        <v>38.490692183503647</v>
      </c>
      <c r="GN56" s="305">
        <f t="shared" ref="GN56:GN62" si="418">(1.005*(($P56-Celc2)/Celc1))+($GL56*(2500+(1.87*(($P56-Celc2)/Celc1))))</f>
        <v>76.628502459649511</v>
      </c>
      <c r="GO56" s="306">
        <f t="shared" si="16"/>
        <v>6.6267587996671123E-2</v>
      </c>
      <c r="GQ56" s="305">
        <f t="shared" ref="GQ56:GQ62" si="419">(611*EXP(17.27*(Tl_cool/(Tl_cool+237.7))))</f>
        <v>3557.0118570174286</v>
      </c>
      <c r="GR56" s="305">
        <f t="shared" ref="GR56:GR62" si="420">(611*EXP(17.27*((($R56-Celc2)/Celc1)/((($R56-Celc2)/Celc1)+237.7))))</f>
        <v>2214.3045648589155</v>
      </c>
      <c r="GS56" s="305">
        <f t="shared" ref="GS56:GS62" si="421">RH*$GQ56</f>
        <v>1778.5059285087143</v>
      </c>
      <c r="GT56" s="305">
        <f t="shared" ref="GT56:GT62" si="422">(GW56*p_atm)/(GW56+0.622)</f>
        <v>1778.5059285087143</v>
      </c>
      <c r="GU56" s="305">
        <f t="shared" ref="GU56:GU62" si="423">T56*GR56</f>
        <v>1778.5059285087143</v>
      </c>
      <c r="GV56" s="307">
        <f t="shared" ref="GV56:GV62" si="424">0.622*($GS56/(p_atm-$GS56))</f>
        <v>1.1112703645172665E-2</v>
      </c>
      <c r="GW56" s="307">
        <f t="shared" ref="GW56:GW62" si="425">IF(H56=G56,GV56,(0.53475935828878*($GZ56-(1.005*(($R56-Celc2)/Celc1))))/(1336.8983957219))</f>
        <v>1.1112703645172665E-2</v>
      </c>
      <c r="GX56" s="305">
        <f t="shared" ref="GX56:GX62" si="426">0.622*($GU56/(p_atm-$GU56))</f>
        <v>1.1112703645172665E-2</v>
      </c>
      <c r="GY56" s="305">
        <f t="shared" ref="GY56:GY62" si="427">(1.005*Tl_cool)+($GV56*(2500+(1.87*Tl_cool)))</f>
        <v>55.477839519976428</v>
      </c>
      <c r="GZ56" s="305">
        <f t="shared" ref="GZ56:GZ62" si="428">GY56-((((H56-G56)/Watts)/1000)/(N56/$L$15))</f>
        <v>55.477839519976428</v>
      </c>
      <c r="HA56" s="305">
        <f t="shared" ref="HA56:HA62" si="429">(1.005*(($R56-Celc2)/Celc1))+($GX56*(2500+(1.87*(($R56-Celc2)/Celc1))))</f>
        <v>47.42537807458973</v>
      </c>
      <c r="HB56" s="305">
        <f t="shared" si="17"/>
        <v>19.415087041495514</v>
      </c>
      <c r="HC56" s="305">
        <f t="shared" si="18"/>
        <v>19.415087041495514</v>
      </c>
      <c r="HD56" s="529">
        <f t="shared" ref="HD56:HD62" si="430">H56</f>
        <v>1449.7076355441104</v>
      </c>
      <c r="HE56" s="57">
        <f t="shared" si="7"/>
        <v>548.888779</v>
      </c>
      <c r="HF56" s="57">
        <f t="shared" ref="HF56:HF62" si="431">IF(Geg_dP&lt;$AB56,((($BL$56*($HE56/Cubics)^4+$BL$57*($HE56/Cubics)^3+$BL$59*($HE56/Cubics)^2+$BL$61*($HE56/Cubics)^1+$BL$62)*((CF_Regime_Cool_noExp)^$Y56)))*CF_Addit*Watts*CF_Altit,Lim_dP)</f>
        <v>1449.7076355441104</v>
      </c>
      <c r="HG56" s="525">
        <f t="shared" si="9"/>
        <v>17.5</v>
      </c>
      <c r="HH56" s="525">
        <f t="shared" si="10"/>
        <v>17.5</v>
      </c>
      <c r="HI56" s="503">
        <f t="shared" si="75"/>
        <v>1449.7076355441104</v>
      </c>
      <c r="HJ56" s="2">
        <f t="shared" si="90"/>
        <v>1</v>
      </c>
      <c r="HK56" s="503">
        <f t="shared" si="76"/>
        <v>1449.7076355441104</v>
      </c>
      <c r="HL56" s="344">
        <f t="shared" ref="HL56:HL62" si="432">0.5*(1-((HP56-HE56)/HP56))</f>
        <v>0.5</v>
      </c>
      <c r="HM56" s="241">
        <f t="shared" ref="HM56:HM62" si="433">(0.025*Tl_cool)+0.3075</f>
        <v>0.98250000000000004</v>
      </c>
      <c r="HN56" s="495">
        <f t="shared" ref="HN56:HN62" si="434">(0.13*Tl_cool)-2.04</f>
        <v>1.4700000000000002</v>
      </c>
      <c r="HO56" s="230">
        <f>HS56/HQ56</f>
        <v>0.60888184644171783</v>
      </c>
      <c r="HP56" s="226">
        <f t="shared" ref="HP56:HP62" si="435">DU56</f>
        <v>548.888779</v>
      </c>
      <c r="HQ56" s="226">
        <f t="shared" si="80"/>
        <v>901.4701</v>
      </c>
      <c r="HR56" s="222">
        <f>HP56/HQ56</f>
        <v>0.60888184644171783</v>
      </c>
      <c r="HS56" s="251">
        <f t="shared" si="11"/>
        <v>548.888779</v>
      </c>
      <c r="HT56" s="241">
        <f t="shared" ref="HT56:HT62" si="436">IF(HS56-(HR56*HQ56)&lt;=0,0,HS56-(HR56*HQ56))</f>
        <v>0</v>
      </c>
      <c r="HU56" s="242">
        <f>HQ56*(1-HR56)</f>
        <v>352.581321</v>
      </c>
      <c r="HV56" s="248">
        <f>IF((HT56/HU56)&gt;1,1,HT56/HU56)</f>
        <v>0</v>
      </c>
      <c r="HW56" s="224">
        <f t="shared" si="12"/>
        <v>17.5</v>
      </c>
      <c r="HX56" s="224">
        <f t="shared" ref="HX56:HX62" si="437">Tr_cool*HM56</f>
        <v>17.685000000000002</v>
      </c>
      <c r="HY56" s="224">
        <f t="shared" ref="HY56:HY62" si="438">ABS(HX56-HW56)</f>
        <v>0.18500000000000227</v>
      </c>
      <c r="HZ56" s="224">
        <f t="shared" ref="HZ56:HZ62" si="439">Tv_cool*HN56</f>
        <v>23.520000000000003</v>
      </c>
      <c r="IA56" s="224">
        <f t="shared" ref="IA56:IA62" si="440">ABS(HZ56-HW56)</f>
        <v>6.0200000000000031</v>
      </c>
      <c r="IB56" s="224">
        <f t="shared" ref="IB56:IB62" si="441">IF(HO56&lt;=HR56,HW56,HW56+(HV56*HY56))</f>
        <v>17.5</v>
      </c>
      <c r="IC56" s="500">
        <f t="shared" ref="IC56:IC62" si="442">HW56+(HV56*IA56)</f>
        <v>17.5</v>
      </c>
      <c r="IE56" s="161">
        <f t="shared" ref="IE56:IE62" si="443">(237.3*LN((RH*EXP(17.27*(Tl_cool/(Tl_cool+237.3))))))/(17.27-LN((RH*EXP(17.27*(Tl_cool/(Tl_cool+237.3))))))</f>
        <v>15.69066559142683</v>
      </c>
      <c r="IG56" s="259">
        <f t="shared" ref="IG56:IG62" si="444">(BG56-BF56)/BG56</f>
        <v>9.6021384951176791E-3</v>
      </c>
      <c r="II56" s="305">
        <f t="shared" ref="II56:II62" si="445">(611*EXP(17.27*(Tl_heat/(Tl_heat+237.7))))</f>
        <v>2334.1781978570243</v>
      </c>
      <c r="IJ56" s="305">
        <f t="shared" ref="IJ56:IJ62" si="446">(611*EXP(17.27*((($P56-Celc2)/Celc1)/((($P56-Celc2)/Celc1)+237.7))))</f>
        <v>17611.763672266741</v>
      </c>
    </row>
    <row r="57" spans="1:244" ht="15" customHeight="1" x14ac:dyDescent="0.25">
      <c r="B57" s="195">
        <f>IF($AL$5=1,$C57/10,IF($AL$5=2,$C57/10,IF($AL$5=3,0,IF($AL$5=4,$C57/10,))))</f>
        <v>0.4</v>
      </c>
      <c r="C57" s="336">
        <v>4</v>
      </c>
      <c r="D57" s="329">
        <f t="shared" si="361"/>
        <v>12038.565742887798</v>
      </c>
      <c r="E57" s="30">
        <f t="shared" si="362"/>
        <v>1035</v>
      </c>
      <c r="F57" s="330">
        <f t="shared" si="363"/>
        <v>10.423354050605386</v>
      </c>
      <c r="G57" s="329">
        <f t="shared" si="364"/>
        <v>2486.1664735304334</v>
      </c>
      <c r="H57" s="32">
        <f t="shared" si="365"/>
        <v>2486.1664735304334</v>
      </c>
      <c r="I57" s="30">
        <f>IF(Geg_dP&lt;AB57,ROUND(((IF('Briza 22 &amp; 26'!$M$4="High Perform. 208/230V (US/EU)",cal!HK57,H57)/Watts)/((Tr_cool-Tv_cool)*1.163))*FlowH2O,IF(UnitsNo=1,0,IF(UnitsNo=2,2))),"")</f>
        <v>1069</v>
      </c>
      <c r="J57" s="330">
        <f t="shared" si="366"/>
        <v>11.05532767842789</v>
      </c>
      <c r="K57" s="333">
        <f t="shared" si="367"/>
        <v>39</v>
      </c>
      <c r="L57" s="297">
        <f>IF(Geg_dP&lt;$AB57,IF(CalcNo="12",$ET57,IF(CalcNo="22",$ET57,IF(CalcNo="13",$EU57,IF(CalcNo="23",$EU57,IF(CalcNo="11",$ER57,IF(CalcNo="21",$ER57,IF(CalcNo="14",$ES57,IF(CalcNo="24",$ES57,IF(CalcNo="32",$EX57,IF(CalcNo="42",$EX57,IF(CalcNo="33",$EY57,IF(CalcNo="43",$EY57,IF(CalcNo="31",$EV57,IF(CalcNo="41",$EV57,IF(CalcNo="34",$EW57,IF(CalcNo="44",$EW57,)))))))))))))))),"")</f>
        <v>47</v>
      </c>
      <c r="M57" s="198">
        <f t="shared" si="368"/>
        <v>25.917165040408769</v>
      </c>
      <c r="N57" s="197">
        <f t="shared" si="369"/>
        <v>972.29046500000004</v>
      </c>
      <c r="O57" s="480">
        <f t="shared" si="370"/>
        <v>0.64612604000531637</v>
      </c>
      <c r="P57" s="198">
        <f t="shared" si="371"/>
        <v>56.344149493340481</v>
      </c>
      <c r="Q57" s="297">
        <f t="shared" si="372"/>
        <v>24.91976272693443</v>
      </c>
      <c r="R57" s="509">
        <f t="shared" si="373"/>
        <v>19.400024154861924</v>
      </c>
      <c r="S57" s="36">
        <f t="shared" si="374"/>
        <v>16.938838704327367</v>
      </c>
      <c r="T57" s="300">
        <f t="shared" si="375"/>
        <v>0.79079834502337942</v>
      </c>
      <c r="U57" s="416">
        <f>IF(Geg_dP&lt;$AB57,$CK57*($N57/Cubics)^2+$CL57*($N57/Cubics)^1+$CM57,"")</f>
        <v>694.89238955705298</v>
      </c>
      <c r="V57" s="483">
        <f t="shared" si="376"/>
        <v>9.5960823955495211E-2</v>
      </c>
      <c r="W57" s="513">
        <f t="shared" si="377"/>
        <v>2.5570203175143074</v>
      </c>
      <c r="X57" s="56">
        <f t="shared" si="1"/>
        <v>0.98161799999999999</v>
      </c>
      <c r="Y57" s="56">
        <f t="shared" si="166"/>
        <v>1.2733000000000001</v>
      </c>
      <c r="Z57" s="56">
        <f t="shared" si="167"/>
        <v>1.0929199999999999</v>
      </c>
      <c r="AA57" s="56">
        <f t="shared" si="13"/>
        <v>0.98161799999999999</v>
      </c>
      <c r="AB57" s="56">
        <f t="shared" si="14"/>
        <v>25.5595</v>
      </c>
      <c r="AC57" s="95">
        <v>0.98161799999999999</v>
      </c>
      <c r="AD57" s="95">
        <v>1.2733000000000001</v>
      </c>
      <c r="AE57" s="95">
        <v>1.0929199999999999</v>
      </c>
      <c r="AF57" s="96">
        <v>17</v>
      </c>
      <c r="AG57" s="95">
        <v>0.98161799999999999</v>
      </c>
      <c r="AH57" s="95">
        <v>1.2733000000000001</v>
      </c>
      <c r="AI57" s="95">
        <v>1.0929199999999999</v>
      </c>
      <c r="AJ57" s="486">
        <v>32</v>
      </c>
      <c r="AK57" s="487">
        <v>0.98161799999999999</v>
      </c>
      <c r="AL57" s="487">
        <v>1.2733000000000001</v>
      </c>
      <c r="AM57" s="487">
        <v>1.0929199999999999</v>
      </c>
      <c r="AN57" s="486">
        <v>25.5595</v>
      </c>
      <c r="AO57" s="487">
        <v>0.99547421584491202</v>
      </c>
      <c r="AP57" s="487">
        <v>1.174754876804744</v>
      </c>
      <c r="AQ57" s="487">
        <v>1.1067294843129272</v>
      </c>
      <c r="AR57" s="486">
        <v>68.146900000000002</v>
      </c>
      <c r="AS57" s="487">
        <v>0.98161799999999999</v>
      </c>
      <c r="AT57" s="487">
        <v>1.2733000000000001</v>
      </c>
      <c r="AU57" s="487">
        <v>1.0929199999999999</v>
      </c>
      <c r="AV57" s="486">
        <f t="shared" si="179"/>
        <v>17</v>
      </c>
      <c r="AW57" s="487">
        <v>0.98161799999999999</v>
      </c>
      <c r="AX57" s="487">
        <v>1.2733000000000001</v>
      </c>
      <c r="AY57" s="487">
        <v>1.0929199999999999</v>
      </c>
      <c r="AZ57" s="486">
        <f t="shared" si="180"/>
        <v>32</v>
      </c>
      <c r="BA57" s="95">
        <v>1.0049716964208173</v>
      </c>
      <c r="BB57" s="95">
        <v>1.2385624038262057</v>
      </c>
      <c r="BC57" s="95">
        <v>1.1162269648888619</v>
      </c>
      <c r="BD57" s="96">
        <f t="shared" si="181"/>
        <v>25.5595</v>
      </c>
      <c r="BE57" s="95">
        <v>0.96936773239038132</v>
      </c>
      <c r="BF57" s="95">
        <v>1.0702467091432031</v>
      </c>
      <c r="BG57" s="95">
        <v>1.0806230008584556</v>
      </c>
      <c r="BH57" s="96">
        <f t="shared" si="182"/>
        <v>68.146900000000002</v>
      </c>
      <c r="BJ57" s="182"/>
      <c r="BK57" s="82">
        <f t="shared" si="378"/>
        <v>0</v>
      </c>
      <c r="BL57" s="83">
        <f t="shared" si="378"/>
        <v>0</v>
      </c>
      <c r="BM57" s="87">
        <f t="shared" si="378"/>
        <v>1.82115</v>
      </c>
      <c r="BN57" s="97"/>
      <c r="BO57" s="97"/>
      <c r="BP57" s="106">
        <f>BP62</f>
        <v>1.82115</v>
      </c>
      <c r="BQ57" s="97"/>
      <c r="BR57" s="97">
        <f>BO57</f>
        <v>0</v>
      </c>
      <c r="BS57" s="106">
        <v>1.8297986249</v>
      </c>
      <c r="BT57" s="97"/>
      <c r="BU57" s="97"/>
      <c r="BV57" s="106">
        <f>BV62</f>
        <v>1.92807237</v>
      </c>
      <c r="BW57" s="97"/>
      <c r="BX57" s="97"/>
      <c r="BY57" s="106">
        <f>BS57</f>
        <v>1.8297986249</v>
      </c>
      <c r="BZ57" s="131">
        <f t="shared" si="379"/>
        <v>0</v>
      </c>
      <c r="CA57" s="132">
        <f t="shared" si="379"/>
        <v>0</v>
      </c>
      <c r="CB57" s="132">
        <f t="shared" si="380"/>
        <v>-2.07262231E-2</v>
      </c>
      <c r="CC57" s="132">
        <f t="shared" si="381"/>
        <v>0.448237675</v>
      </c>
      <c r="CD57" s="132">
        <f t="shared" si="382"/>
        <v>-29.940569400000001</v>
      </c>
      <c r="CE57" s="133">
        <f t="shared" si="383"/>
        <v>972.29046500000004</v>
      </c>
      <c r="CF57" s="131">
        <f t="shared" si="384"/>
        <v>0</v>
      </c>
      <c r="CG57" s="132">
        <f t="shared" si="385"/>
        <v>-1.7321989800000001E-8</v>
      </c>
      <c r="CH57" s="132">
        <f t="shared" si="386"/>
        <v>3.1025205999999999E-5</v>
      </c>
      <c r="CI57" s="132">
        <f t="shared" si="387"/>
        <v>-6.0793343100000001E-3</v>
      </c>
      <c r="CJ57" s="132">
        <f t="shared" si="388"/>
        <v>18.419972999999999</v>
      </c>
      <c r="CK57" s="131">
        <f t="shared" si="389"/>
        <v>0</v>
      </c>
      <c r="CL57" s="132">
        <f t="shared" si="390"/>
        <v>-5.66948257E-2</v>
      </c>
      <c r="CM57" s="133">
        <f t="shared" si="391"/>
        <v>750.01622799999996</v>
      </c>
      <c r="CN57" s="350"/>
      <c r="CO57" s="386"/>
      <c r="CP57" s="113">
        <v>0.154805894</v>
      </c>
      <c r="CQ57" s="113">
        <v>-2.45944121</v>
      </c>
      <c r="CR57" s="113">
        <v>-24.8452515</v>
      </c>
      <c r="CS57" s="114">
        <v>774.57805499999995</v>
      </c>
      <c r="CT57" s="350"/>
      <c r="CU57" s="390"/>
      <c r="CV57" s="386"/>
      <c r="CW57" s="113">
        <v>8.1805339799999998E-3</v>
      </c>
      <c r="CX57" s="116">
        <v>12.8128545</v>
      </c>
      <c r="CY57" s="352"/>
      <c r="CZ57" s="113">
        <v>-4.6552956800000003E-2</v>
      </c>
      <c r="DA57" s="423">
        <v>584.09787300000005</v>
      </c>
      <c r="DB57" s="357"/>
      <c r="DC57" s="113">
        <v>4.17142641E-4</v>
      </c>
      <c r="DD57" s="113">
        <v>-2.1384481100000002E-2</v>
      </c>
      <c r="DE57" s="113">
        <v>0.14582009100000001</v>
      </c>
      <c r="DF57" s="113">
        <v>-23.7675518</v>
      </c>
      <c r="DG57" s="114">
        <v>918.00284499999998</v>
      </c>
      <c r="DH57" s="357"/>
      <c r="DI57" s="115">
        <v>-8.7633169300000001E-9</v>
      </c>
      <c r="DJ57" s="113">
        <v>1.7305293199999999E-5</v>
      </c>
      <c r="DK57" s="113">
        <v>3.4383722199999999E-3</v>
      </c>
      <c r="DL57" s="116">
        <v>19.928088200000001</v>
      </c>
      <c r="DM57" s="113">
        <v>3.2525526900000001E-5</v>
      </c>
      <c r="DN57" s="113">
        <v>-0.109999266</v>
      </c>
      <c r="DO57" s="423">
        <v>916.21965399999999</v>
      </c>
      <c r="DP57" s="429"/>
      <c r="DQ57" s="386"/>
      <c r="DR57" s="113">
        <v>-2.07262231E-2</v>
      </c>
      <c r="DS57" s="113">
        <v>0.448237675</v>
      </c>
      <c r="DT57" s="113">
        <v>-29.940569400000001</v>
      </c>
      <c r="DU57" s="114">
        <v>972.29046500000004</v>
      </c>
      <c r="DV57" s="378"/>
      <c r="DW57" s="126">
        <v>-1.7321989800000001E-8</v>
      </c>
      <c r="DX57" s="120">
        <v>3.1025205999999999E-5</v>
      </c>
      <c r="DY57" s="120">
        <v>-6.0793343100000001E-3</v>
      </c>
      <c r="DZ57" s="114">
        <v>18.419972999999999</v>
      </c>
      <c r="EA57" s="352"/>
      <c r="EB57" s="113">
        <v>-5.66948257E-2</v>
      </c>
      <c r="EC57" s="423">
        <v>750.01622799999996</v>
      </c>
      <c r="ED57" s="429"/>
      <c r="EE57" s="386"/>
      <c r="EF57" s="113">
        <v>-1.46431454E-3</v>
      </c>
      <c r="EG57" s="113">
        <v>9.2027431200000006E-3</v>
      </c>
      <c r="EH57" s="113">
        <v>-18.2644828</v>
      </c>
      <c r="EI57" s="116">
        <v>1797.3878999999999</v>
      </c>
      <c r="EJ57" s="378"/>
      <c r="EK57" s="115">
        <v>1.23981274E-8</v>
      </c>
      <c r="EL57" s="113">
        <v>-5.14440925E-5</v>
      </c>
      <c r="EM57" s="113">
        <v>9.8507516899999994E-2</v>
      </c>
      <c r="EN57" s="116">
        <v>9.8035431200000005</v>
      </c>
      <c r="EO57" s="378"/>
      <c r="EP57" s="395">
        <v>-4.9342692100000002E-2</v>
      </c>
      <c r="EQ57" s="433">
        <v>1157.9837399999999</v>
      </c>
      <c r="ER57" s="458">
        <v>47</v>
      </c>
      <c r="ES57" s="365"/>
      <c r="ET57" s="137">
        <v>47</v>
      </c>
      <c r="EU57" s="365"/>
      <c r="EV57" s="137">
        <f>EX57</f>
        <v>46.5</v>
      </c>
      <c r="EW57" s="365"/>
      <c r="EX57" s="137">
        <v>46.5</v>
      </c>
      <c r="EY57" s="360"/>
      <c r="EZ57" s="137">
        <f t="shared" si="392"/>
        <v>17.5</v>
      </c>
      <c r="FA57" s="143">
        <f>Tavg_cold</f>
        <v>17</v>
      </c>
      <c r="FB57" s="143">
        <f t="shared" si="393"/>
        <v>17.5</v>
      </c>
      <c r="FC57" s="143">
        <f t="shared" si="394"/>
        <v>17.5</v>
      </c>
      <c r="FD57" s="143">
        <f t="shared" si="395"/>
        <v>17.5</v>
      </c>
      <c r="FE57" s="143">
        <f t="shared" ref="FE57:FE62" si="447">FH57*1.04</f>
        <v>18.2</v>
      </c>
      <c r="FF57" s="497">
        <f t="shared" si="396"/>
        <v>17.5</v>
      </c>
      <c r="FG57" s="497">
        <f>FH57*1.05</f>
        <v>18.375</v>
      </c>
      <c r="FH57" s="497">
        <f t="shared" si="397"/>
        <v>17.5</v>
      </c>
      <c r="FJ57" s="344">
        <f t="shared" si="398"/>
        <v>0.5</v>
      </c>
      <c r="FK57" s="241">
        <f t="shared" si="399"/>
        <v>0.98250000000000004</v>
      </c>
      <c r="FL57" s="495">
        <f t="shared" si="400"/>
        <v>1.4700000000000002</v>
      </c>
      <c r="FM57" s="230">
        <f t="shared" ref="FM57:FM62" si="448">FQ57/FO57</f>
        <v>0.5409463727890903</v>
      </c>
      <c r="FN57" s="226">
        <f>DU57</f>
        <v>972.29046500000004</v>
      </c>
      <c r="FO57" s="226">
        <f>EI57</f>
        <v>1797.3878999999999</v>
      </c>
      <c r="FP57" s="222">
        <f>FN57/FO57</f>
        <v>0.5409463727890903</v>
      </c>
      <c r="FQ57" s="238">
        <f t="shared" si="401"/>
        <v>972.29046500000004</v>
      </c>
      <c r="FR57" s="241">
        <f t="shared" si="402"/>
        <v>0</v>
      </c>
      <c r="FS57" s="242">
        <f t="shared" ref="FS57:FS62" si="449">FO57*(1-FP57)</f>
        <v>825.09743499999979</v>
      </c>
      <c r="FT57" s="248">
        <f t="shared" ref="FT57:FT62" si="450">IF((FR57/FS57)&gt;1,1,FR57/FS57)</f>
        <v>0</v>
      </c>
      <c r="FU57" s="224">
        <f t="shared" si="403"/>
        <v>17.5</v>
      </c>
      <c r="FV57" s="224">
        <f t="shared" si="404"/>
        <v>17.685000000000002</v>
      </c>
      <c r="FW57" s="224">
        <f t="shared" si="405"/>
        <v>0.18500000000000227</v>
      </c>
      <c r="FX57" s="224">
        <f t="shared" si="406"/>
        <v>23.520000000000003</v>
      </c>
      <c r="FY57" s="224">
        <f t="shared" si="407"/>
        <v>6.0200000000000031</v>
      </c>
      <c r="FZ57" s="224">
        <f t="shared" si="408"/>
        <v>17.5</v>
      </c>
      <c r="GA57" s="500">
        <f t="shared" si="409"/>
        <v>17.5</v>
      </c>
      <c r="GC57" s="161">
        <f t="shared" si="410"/>
        <v>15.69066559142683</v>
      </c>
      <c r="GE57" s="259">
        <f t="shared" si="411"/>
        <v>0</v>
      </c>
      <c r="GG57" s="305">
        <f t="shared" si="412"/>
        <v>2334.1781978570243</v>
      </c>
      <c r="GH57" s="305">
        <f t="shared" si="413"/>
        <v>16719.645453607485</v>
      </c>
      <c r="GI57" s="305">
        <f t="shared" si="414"/>
        <v>1167.0890989285122</v>
      </c>
      <c r="GJ57" s="305">
        <f t="shared" si="415"/>
        <v>1167.0890989285119</v>
      </c>
      <c r="GK57" s="305">
        <f t="shared" si="416"/>
        <v>7.2478490515896785E-3</v>
      </c>
      <c r="GL57" s="305">
        <f t="shared" si="15"/>
        <v>7.2478490515896785E-3</v>
      </c>
      <c r="GM57" s="305">
        <f t="shared" si="417"/>
        <v>38.490692183503647</v>
      </c>
      <c r="GN57" s="305">
        <f t="shared" si="418"/>
        <v>75.509152044956409</v>
      </c>
      <c r="GO57" s="306">
        <f t="shared" si="16"/>
        <v>6.9803459778311081E-2</v>
      </c>
      <c r="GQ57" s="305">
        <f t="shared" si="419"/>
        <v>3557.0118570174286</v>
      </c>
      <c r="GR57" s="305">
        <f t="shared" si="420"/>
        <v>2249.0005697421307</v>
      </c>
      <c r="GS57" s="305">
        <f t="shared" si="421"/>
        <v>1778.5059285087143</v>
      </c>
      <c r="GT57" s="305">
        <f t="shared" si="422"/>
        <v>1778.5059285087143</v>
      </c>
      <c r="GU57" s="305">
        <f t="shared" si="423"/>
        <v>1778.5059285087143</v>
      </c>
      <c r="GV57" s="307">
        <f t="shared" si="424"/>
        <v>1.1112703645172665E-2</v>
      </c>
      <c r="GW57" s="307">
        <f t="shared" si="425"/>
        <v>1.1112703645172665E-2</v>
      </c>
      <c r="GX57" s="305">
        <f t="shared" si="426"/>
        <v>1.1112703645172665E-2</v>
      </c>
      <c r="GY57" s="305">
        <f t="shared" si="427"/>
        <v>55.477839519976428</v>
      </c>
      <c r="GZ57" s="305">
        <f t="shared" si="428"/>
        <v>55.477839519976428</v>
      </c>
      <c r="HA57" s="305">
        <f t="shared" si="429"/>
        <v>47.681930553363756</v>
      </c>
      <c r="HB57" s="305">
        <f t="shared" si="17"/>
        <v>19.415087041495514</v>
      </c>
      <c r="HC57" s="305">
        <f t="shared" si="18"/>
        <v>19.415087041495514</v>
      </c>
      <c r="HD57" s="529">
        <f t="shared" si="430"/>
        <v>2486.1664735304334</v>
      </c>
      <c r="HE57" s="57">
        <f t="shared" si="7"/>
        <v>972.29046500000004</v>
      </c>
      <c r="HF57" s="57">
        <f t="shared" si="431"/>
        <v>2486.1664735304334</v>
      </c>
      <c r="HG57" s="525">
        <f t="shared" si="9"/>
        <v>17.5</v>
      </c>
      <c r="HH57" s="525">
        <f t="shared" si="10"/>
        <v>17.5</v>
      </c>
      <c r="HI57" s="503">
        <f t="shared" si="75"/>
        <v>2486.1664735304334</v>
      </c>
      <c r="HJ57" s="2">
        <f t="shared" si="90"/>
        <v>1</v>
      </c>
      <c r="HK57" s="503">
        <f t="shared" si="76"/>
        <v>2486.1664735304334</v>
      </c>
      <c r="HL57" s="344">
        <f t="shared" si="432"/>
        <v>0.5</v>
      </c>
      <c r="HM57" s="241">
        <f t="shared" si="433"/>
        <v>0.98250000000000004</v>
      </c>
      <c r="HN57" s="495">
        <f t="shared" si="434"/>
        <v>1.4700000000000002</v>
      </c>
      <c r="HO57" s="230">
        <f t="shared" ref="HO57:HO62" si="451">HS57/HQ57</f>
        <v>0.5409463727890903</v>
      </c>
      <c r="HP57" s="226">
        <f t="shared" si="435"/>
        <v>972.29046500000004</v>
      </c>
      <c r="HQ57" s="226">
        <f t="shared" si="80"/>
        <v>1797.3878999999999</v>
      </c>
      <c r="HR57" s="222">
        <f>HP57/HQ57</f>
        <v>0.5409463727890903</v>
      </c>
      <c r="HS57" s="251">
        <f t="shared" si="11"/>
        <v>972.29046500000004</v>
      </c>
      <c r="HT57" s="241">
        <f t="shared" si="436"/>
        <v>0</v>
      </c>
      <c r="HU57" s="242">
        <f t="shared" ref="HU57:HU62" si="452">HQ57*(1-HR57)</f>
        <v>825.09743499999979</v>
      </c>
      <c r="HV57" s="248">
        <f t="shared" ref="HV57:HV62" si="453">IF((HT57/HU57)&gt;1,1,HT57/HU57)</f>
        <v>0</v>
      </c>
      <c r="HW57" s="224">
        <f t="shared" si="12"/>
        <v>17.5</v>
      </c>
      <c r="HX57" s="224">
        <f t="shared" si="437"/>
        <v>17.685000000000002</v>
      </c>
      <c r="HY57" s="224">
        <f t="shared" si="438"/>
        <v>0.18500000000000227</v>
      </c>
      <c r="HZ57" s="224">
        <f t="shared" si="439"/>
        <v>23.520000000000003</v>
      </c>
      <c r="IA57" s="224">
        <f t="shared" si="440"/>
        <v>6.0200000000000031</v>
      </c>
      <c r="IB57" s="224">
        <f t="shared" si="441"/>
        <v>17.5</v>
      </c>
      <c r="IC57" s="500">
        <f t="shared" si="442"/>
        <v>17.5</v>
      </c>
      <c r="IE57" s="161">
        <f t="shared" si="443"/>
        <v>15.69066559142683</v>
      </c>
      <c r="IG57" s="259">
        <f t="shared" si="444"/>
        <v>9.6021384951176791E-3</v>
      </c>
      <c r="II57" s="305">
        <f t="shared" si="445"/>
        <v>2334.1781978570243</v>
      </c>
      <c r="IJ57" s="305">
        <f t="shared" si="446"/>
        <v>16719.645453607485</v>
      </c>
    </row>
    <row r="58" spans="1:244" ht="15" customHeight="1" x14ac:dyDescent="0.25">
      <c r="B58" s="195">
        <f>IF($AL$5=1,$C58/10,IF($AL$5=2,$C58/10,IF($AL$5=3,0.25,IF($AL$5=4,$C58/10,))))</f>
        <v>0.5</v>
      </c>
      <c r="C58" s="336">
        <v>5</v>
      </c>
      <c r="D58" s="329">
        <f t="shared" si="361"/>
        <v>5.30344505500896</v>
      </c>
      <c r="E58" s="172">
        <f t="shared" si="362"/>
        <v>0</v>
      </c>
      <c r="F58" s="330">
        <f t="shared" si="363"/>
        <v>0</v>
      </c>
      <c r="G58" s="329">
        <f t="shared" si="364"/>
        <v>-4.9094272368746896</v>
      </c>
      <c r="H58" s="32">
        <f t="shared" si="365"/>
        <v>-4.9094272368746896</v>
      </c>
      <c r="I58" s="30">
        <f>IF(Geg_dP&lt;AB58,ROUND(((IF('Briza 22 &amp; 26'!$M$4="High Perform. 208/230V (US/EU)",cal!HK58,H58)/Watts)/((Tr_cool-Tv_cool)*1.163))*FlowH2O,IF(UnitsNo=1,0,IF(UnitsNo=2,2))),"")</f>
        <v>-2</v>
      </c>
      <c r="J58" s="330" t="e">
        <f t="shared" si="366"/>
        <v>#NUM!</v>
      </c>
      <c r="K58" s="333">
        <f t="shared" si="367"/>
        <v>0</v>
      </c>
      <c r="L58" s="297">
        <f>IF(Geg_dP&lt;$AB58,0,"")</f>
        <v>0</v>
      </c>
      <c r="M58" s="198">
        <f t="shared" si="368"/>
        <v>0</v>
      </c>
      <c r="N58" s="197">
        <f t="shared" si="369"/>
        <v>0</v>
      </c>
      <c r="O58" s="480">
        <f t="shared" si="370"/>
        <v>0</v>
      </c>
      <c r="P58" s="198" t="e">
        <f t="shared" si="371"/>
        <v>#DIV/0!</v>
      </c>
      <c r="Q58" s="297" t="e">
        <f t="shared" si="372"/>
        <v>#DIV/0!</v>
      </c>
      <c r="R58" s="509" t="e">
        <f t="shared" si="373"/>
        <v>#DIV/0!</v>
      </c>
      <c r="S58" s="36" t="e">
        <f t="shared" si="374"/>
        <v>#DIV/0!</v>
      </c>
      <c r="T58" s="300" t="e">
        <f t="shared" si="375"/>
        <v>#DIV/0!</v>
      </c>
      <c r="U58" s="416">
        <f>IF(Geg_dP&lt;$AB58,$CK58*($N58/Cubics)^2+$CL58*($N58/Cubics)^1+$CM58,"")</f>
        <v>0</v>
      </c>
      <c r="V58" s="483" t="e">
        <f t="shared" si="376"/>
        <v>#DIV/0!</v>
      </c>
      <c r="W58" s="513" t="e">
        <f t="shared" si="377"/>
        <v>#DIV/0!</v>
      </c>
      <c r="X58" s="56">
        <f t="shared" si="1"/>
        <v>0.98161799999999999</v>
      </c>
      <c r="Y58" s="56">
        <f t="shared" si="166"/>
        <v>1.2733000000000001</v>
      </c>
      <c r="Z58" s="56">
        <f t="shared" si="167"/>
        <v>1.0929199999999999</v>
      </c>
      <c r="AA58" s="56">
        <f t="shared" si="13"/>
        <v>0.98161799999999999</v>
      </c>
      <c r="AB58" s="56">
        <f t="shared" si="14"/>
        <v>42.813699999999997</v>
      </c>
      <c r="AC58" s="95">
        <v>0.98161799999999999</v>
      </c>
      <c r="AD58" s="95">
        <v>1.2733000000000001</v>
      </c>
      <c r="AE58" s="95">
        <v>1.0929199999999999</v>
      </c>
      <c r="AF58" s="96">
        <f>AF57+((AF59-AF57)/2)</f>
        <v>27.7</v>
      </c>
      <c r="AG58" s="95">
        <v>0.98161799999999999</v>
      </c>
      <c r="AH58" s="95">
        <v>1.2733000000000001</v>
      </c>
      <c r="AI58" s="95">
        <v>1.0929199999999999</v>
      </c>
      <c r="AJ58" s="486">
        <f>AJ57+((AJ59-AJ57)/2)</f>
        <v>51</v>
      </c>
      <c r="AK58" s="487">
        <v>0.98161799999999999</v>
      </c>
      <c r="AL58" s="487">
        <v>1.2733000000000001</v>
      </c>
      <c r="AM58" s="487">
        <v>1.0929199999999999</v>
      </c>
      <c r="AN58" s="486">
        <f>AN57+((AN59-AN57)/2)</f>
        <v>42.813699999999997</v>
      </c>
      <c r="AO58" s="487">
        <v>0.99547421584491202</v>
      </c>
      <c r="AP58" s="487">
        <v>1.174754876804744</v>
      </c>
      <c r="AQ58" s="487">
        <v>1.1067294843129272</v>
      </c>
      <c r="AR58" s="486">
        <f>AR57+((AR59-AR57)/2)</f>
        <v>99.860450000000014</v>
      </c>
      <c r="AS58" s="487">
        <v>0.98161799999999999</v>
      </c>
      <c r="AT58" s="487">
        <v>1.2733000000000001</v>
      </c>
      <c r="AU58" s="487">
        <v>1.0929199999999999</v>
      </c>
      <c r="AV58" s="486">
        <f t="shared" si="179"/>
        <v>27.7</v>
      </c>
      <c r="AW58" s="487">
        <v>0.98161799999999999</v>
      </c>
      <c r="AX58" s="487">
        <v>1.2733000000000001</v>
      </c>
      <c r="AY58" s="487">
        <v>1.0929199999999999</v>
      </c>
      <c r="AZ58" s="486">
        <f t="shared" si="180"/>
        <v>51</v>
      </c>
      <c r="BA58" s="95">
        <v>1.0049716964208173</v>
      </c>
      <c r="BB58" s="95">
        <v>1.2385624038262057</v>
      </c>
      <c r="BC58" s="95">
        <v>1.1162269648888619</v>
      </c>
      <c r="BD58" s="96">
        <f t="shared" si="181"/>
        <v>42.813699999999997</v>
      </c>
      <c r="BE58" s="95">
        <v>0.96936773239038132</v>
      </c>
      <c r="BF58" s="95">
        <v>1.0702467091432031</v>
      </c>
      <c r="BG58" s="95">
        <v>1.0806230008584556</v>
      </c>
      <c r="BH58" s="96">
        <f t="shared" si="182"/>
        <v>99.860450000000014</v>
      </c>
      <c r="BJ58" s="182"/>
      <c r="BK58" s="252"/>
      <c r="BL58" s="253"/>
      <c r="BM58" s="253"/>
      <c r="BN58" s="252"/>
      <c r="BO58" s="253"/>
      <c r="BP58" s="254"/>
      <c r="BQ58" s="252"/>
      <c r="BR58" s="253"/>
      <c r="BS58" s="254"/>
      <c r="BT58" s="252"/>
      <c r="BU58" s="253"/>
      <c r="BV58" s="254"/>
      <c r="BW58" s="252"/>
      <c r="BX58" s="253"/>
      <c r="BY58" s="254"/>
      <c r="BZ58" s="131">
        <f t="shared" si="379"/>
        <v>0</v>
      </c>
      <c r="CA58" s="132">
        <f t="shared" si="379"/>
        <v>0</v>
      </c>
      <c r="CB58" s="132">
        <f t="shared" si="380"/>
        <v>0</v>
      </c>
      <c r="CC58" s="132">
        <f t="shared" si="381"/>
        <v>0</v>
      </c>
      <c r="CD58" s="132">
        <f t="shared" si="382"/>
        <v>0</v>
      </c>
      <c r="CE58" s="133">
        <f t="shared" si="383"/>
        <v>0</v>
      </c>
      <c r="CF58" s="131">
        <f t="shared" si="384"/>
        <v>0</v>
      </c>
      <c r="CG58" s="132">
        <f t="shared" si="385"/>
        <v>0</v>
      </c>
      <c r="CH58" s="132">
        <f t="shared" si="386"/>
        <v>0</v>
      </c>
      <c r="CI58" s="132">
        <f t="shared" si="387"/>
        <v>0</v>
      </c>
      <c r="CJ58" s="132">
        <f t="shared" si="388"/>
        <v>0</v>
      </c>
      <c r="CK58" s="131">
        <f t="shared" si="389"/>
        <v>0</v>
      </c>
      <c r="CL58" s="132">
        <f t="shared" si="390"/>
        <v>0</v>
      </c>
      <c r="CM58" s="133">
        <f t="shared" si="391"/>
        <v>0</v>
      </c>
      <c r="CN58" s="384"/>
      <c r="CO58" s="374"/>
      <c r="CP58" s="380"/>
      <c r="CQ58" s="380"/>
      <c r="CR58" s="380"/>
      <c r="CS58" s="381"/>
      <c r="CT58" s="384"/>
      <c r="CU58" s="374"/>
      <c r="CV58" s="374"/>
      <c r="CW58" s="380"/>
      <c r="CX58" s="381"/>
      <c r="CY58" s="374"/>
      <c r="CZ58" s="380"/>
      <c r="DA58" s="427"/>
      <c r="DB58" s="384"/>
      <c r="DC58" s="380"/>
      <c r="DD58" s="380"/>
      <c r="DE58" s="380"/>
      <c r="DF58" s="380"/>
      <c r="DG58" s="381"/>
      <c r="DH58" s="384"/>
      <c r="DI58" s="380"/>
      <c r="DJ58" s="380"/>
      <c r="DK58" s="380"/>
      <c r="DL58" s="381"/>
      <c r="DM58" s="380"/>
      <c r="DN58" s="380"/>
      <c r="DO58" s="427"/>
      <c r="DP58" s="426"/>
      <c r="DQ58" s="374"/>
      <c r="DR58" s="380"/>
      <c r="DS58" s="380"/>
      <c r="DT58" s="380"/>
      <c r="DU58" s="381"/>
      <c r="DV58" s="375"/>
      <c r="DW58" s="382"/>
      <c r="DX58" s="382"/>
      <c r="DY58" s="382"/>
      <c r="DZ58" s="383"/>
      <c r="EA58" s="374"/>
      <c r="EB58" s="380"/>
      <c r="EC58" s="427"/>
      <c r="ED58" s="429"/>
      <c r="EE58" s="386"/>
      <c r="EF58" s="113">
        <v>-5.8209759699999995E-4</v>
      </c>
      <c r="EG58" s="113">
        <v>-3.64419489E-2</v>
      </c>
      <c r="EH58" s="113">
        <v>-13.795191600000001</v>
      </c>
      <c r="EI58" s="116">
        <v>2184.8110099999999</v>
      </c>
      <c r="EJ58" s="378"/>
      <c r="EK58" s="115">
        <v>7.5581912599999993E-9</v>
      </c>
      <c r="EL58" s="113">
        <v>-3.4550600599999997E-5</v>
      </c>
      <c r="EM58" s="113">
        <v>9.5776799300000007E-2</v>
      </c>
      <c r="EN58" s="116">
        <v>32.907322399999998</v>
      </c>
      <c r="EO58" s="378"/>
      <c r="EP58" s="395">
        <v>-7.7785926500000005E-2</v>
      </c>
      <c r="EQ58" s="433">
        <v>1425.08592</v>
      </c>
      <c r="ER58" s="459"/>
      <c r="ES58" s="441"/>
      <c r="ET58" s="443"/>
      <c r="EU58" s="441"/>
      <c r="EV58" s="443"/>
      <c r="EW58" s="441"/>
      <c r="EX58" s="443"/>
      <c r="EY58" s="442"/>
      <c r="EZ58" s="526">
        <f t="shared" si="392"/>
        <v>17</v>
      </c>
      <c r="FA58" s="143">
        <f>((FA59-FA57)/2)+FA57</f>
        <v>17</v>
      </c>
      <c r="FB58" s="143">
        <f t="shared" si="393"/>
        <v>17</v>
      </c>
      <c r="FC58" s="143">
        <f t="shared" si="394"/>
        <v>17</v>
      </c>
      <c r="FD58" s="143">
        <f t="shared" si="395"/>
        <v>17</v>
      </c>
      <c r="FE58" s="143">
        <f>((FE59-FE57)/2)+FE57</f>
        <v>18.2</v>
      </c>
      <c r="FF58" s="497">
        <f t="shared" si="396"/>
        <v>17</v>
      </c>
      <c r="FG58" s="497">
        <f>((FG59-FG57)/2)+FG57</f>
        <v>18.375</v>
      </c>
      <c r="FH58" s="497">
        <f t="shared" si="397"/>
        <v>17</v>
      </c>
      <c r="FJ58" s="344">
        <f t="shared" si="398"/>
        <v>0</v>
      </c>
      <c r="FK58" s="241">
        <f t="shared" si="399"/>
        <v>0.98250000000000004</v>
      </c>
      <c r="FL58" s="495">
        <f t="shared" si="400"/>
        <v>1.4700000000000002</v>
      </c>
      <c r="FM58" s="230">
        <f t="shared" si="448"/>
        <v>0</v>
      </c>
      <c r="FN58" s="226">
        <f>((FN59-FN57)/2)+FN57</f>
        <v>1159.5624124999999</v>
      </c>
      <c r="FO58" s="226">
        <f>((FO59-FO57)/2)+FO57</f>
        <v>2184.8110149999998</v>
      </c>
      <c r="FP58" s="222">
        <f>FN58/FO58</f>
        <v>0.53073808422739033</v>
      </c>
      <c r="FQ58" s="238">
        <f t="shared" si="401"/>
        <v>0</v>
      </c>
      <c r="FR58" s="241">
        <f t="shared" si="402"/>
        <v>0</v>
      </c>
      <c r="FS58" s="242">
        <f t="shared" si="449"/>
        <v>1025.2486024999998</v>
      </c>
      <c r="FT58" s="248">
        <f t="shared" si="450"/>
        <v>0</v>
      </c>
      <c r="FU58" s="224">
        <f t="shared" si="403"/>
        <v>17</v>
      </c>
      <c r="FV58" s="224">
        <f t="shared" si="404"/>
        <v>17.685000000000002</v>
      </c>
      <c r="FW58" s="224">
        <f t="shared" si="405"/>
        <v>0.68500000000000227</v>
      </c>
      <c r="FX58" s="224">
        <f t="shared" si="406"/>
        <v>23.520000000000003</v>
      </c>
      <c r="FY58" s="224">
        <f t="shared" si="407"/>
        <v>6.5200000000000031</v>
      </c>
      <c r="FZ58" s="224">
        <f t="shared" si="408"/>
        <v>17</v>
      </c>
      <c r="GA58" s="500">
        <f t="shared" si="409"/>
        <v>17</v>
      </c>
      <c r="GC58" s="161">
        <f t="shared" si="410"/>
        <v>15.69066559142683</v>
      </c>
      <c r="GE58" s="259">
        <f t="shared" si="411"/>
        <v>0</v>
      </c>
      <c r="GG58" s="305">
        <f t="shared" si="412"/>
        <v>2334.1781978570243</v>
      </c>
      <c r="GH58" s="305" t="e">
        <f t="shared" si="413"/>
        <v>#DIV/0!</v>
      </c>
      <c r="GI58" s="305">
        <f t="shared" si="414"/>
        <v>1167.0890989285122</v>
      </c>
      <c r="GJ58" s="305">
        <f t="shared" si="415"/>
        <v>1167.0890989285119</v>
      </c>
      <c r="GK58" s="305">
        <f t="shared" si="416"/>
        <v>7.2478490515896785E-3</v>
      </c>
      <c r="GL58" s="305">
        <f t="shared" si="15"/>
        <v>7.2478490515896785E-3</v>
      </c>
      <c r="GM58" s="305">
        <f t="shared" si="417"/>
        <v>38.490692183503647</v>
      </c>
      <c r="GN58" s="305" t="e">
        <f t="shared" si="418"/>
        <v>#DIV/0!</v>
      </c>
      <c r="GO58" s="306" t="e">
        <f t="shared" si="16"/>
        <v>#DIV/0!</v>
      </c>
      <c r="GQ58" s="305">
        <f t="shared" si="419"/>
        <v>3557.0118570174286</v>
      </c>
      <c r="GR58" s="305" t="e">
        <f t="shared" si="420"/>
        <v>#DIV/0!</v>
      </c>
      <c r="GS58" s="305">
        <f t="shared" si="421"/>
        <v>1778.5059285087143</v>
      </c>
      <c r="GT58" s="305">
        <f t="shared" si="422"/>
        <v>1778.5059285087143</v>
      </c>
      <c r="GU58" s="305" t="e">
        <f t="shared" si="423"/>
        <v>#DIV/0!</v>
      </c>
      <c r="GV58" s="307">
        <f t="shared" si="424"/>
        <v>1.1112703645172665E-2</v>
      </c>
      <c r="GW58" s="307">
        <f t="shared" si="425"/>
        <v>1.1112703645172665E-2</v>
      </c>
      <c r="GX58" s="305" t="e">
        <f t="shared" si="426"/>
        <v>#DIV/0!</v>
      </c>
      <c r="GY58" s="305">
        <f t="shared" si="427"/>
        <v>55.477839519976428</v>
      </c>
      <c r="GZ58" s="305" t="e">
        <f t="shared" si="428"/>
        <v>#DIV/0!</v>
      </c>
      <c r="HA58" s="305" t="e">
        <f t="shared" si="429"/>
        <v>#DIV/0!</v>
      </c>
      <c r="HB58" s="305">
        <f t="shared" si="17"/>
        <v>19.415087041495514</v>
      </c>
      <c r="HC58" s="305" t="e">
        <f t="shared" si="18"/>
        <v>#DIV/0!</v>
      </c>
      <c r="HD58" s="529">
        <f t="shared" si="430"/>
        <v>-4.9094272368746896</v>
      </c>
      <c r="HE58" s="57">
        <f t="shared" si="7"/>
        <v>0</v>
      </c>
      <c r="HF58" s="57">
        <f t="shared" si="431"/>
        <v>-4.9094272368746896</v>
      </c>
      <c r="HG58" s="525">
        <f t="shared" si="9"/>
        <v>17</v>
      </c>
      <c r="HH58" s="525">
        <f t="shared" si="10"/>
        <v>17</v>
      </c>
      <c r="HI58" s="503">
        <f t="shared" si="75"/>
        <v>-4.9094272368746896</v>
      </c>
      <c r="HJ58" s="2">
        <f t="shared" si="90"/>
        <v>1</v>
      </c>
      <c r="HK58" s="503">
        <f t="shared" si="76"/>
        <v>-4.9094272368746896</v>
      </c>
      <c r="HL58" s="344">
        <f t="shared" si="432"/>
        <v>0</v>
      </c>
      <c r="HM58" s="241">
        <f t="shared" si="433"/>
        <v>0.98250000000000004</v>
      </c>
      <c r="HN58" s="495">
        <f t="shared" si="434"/>
        <v>1.4700000000000002</v>
      </c>
      <c r="HO58" s="230">
        <f t="shared" si="451"/>
        <v>0</v>
      </c>
      <c r="HP58" s="226">
        <f>((HP59-HP57)/2)+HP57</f>
        <v>1159.5624124999999</v>
      </c>
      <c r="HQ58" s="226">
        <f>((HQ59-HQ57)/2)+HQ57</f>
        <v>2184.8110149999998</v>
      </c>
      <c r="HR58" s="222">
        <f>HP58/HQ58</f>
        <v>0.53073808422739033</v>
      </c>
      <c r="HS58" s="251">
        <f t="shared" si="11"/>
        <v>0</v>
      </c>
      <c r="HT58" s="241">
        <f t="shared" si="436"/>
        <v>0</v>
      </c>
      <c r="HU58" s="242">
        <f t="shared" si="452"/>
        <v>1025.2486024999998</v>
      </c>
      <c r="HV58" s="248">
        <f t="shared" si="453"/>
        <v>0</v>
      </c>
      <c r="HW58" s="224">
        <f t="shared" si="12"/>
        <v>17</v>
      </c>
      <c r="HX58" s="224">
        <f t="shared" si="437"/>
        <v>17.685000000000002</v>
      </c>
      <c r="HY58" s="224">
        <f t="shared" si="438"/>
        <v>0.68500000000000227</v>
      </c>
      <c r="HZ58" s="224">
        <f t="shared" si="439"/>
        <v>23.520000000000003</v>
      </c>
      <c r="IA58" s="224">
        <f t="shared" si="440"/>
        <v>6.5200000000000031</v>
      </c>
      <c r="IB58" s="224">
        <f t="shared" si="441"/>
        <v>17</v>
      </c>
      <c r="IC58" s="500">
        <f t="shared" si="442"/>
        <v>17</v>
      </c>
      <c r="IE58" s="161">
        <f t="shared" si="443"/>
        <v>15.69066559142683</v>
      </c>
      <c r="IG58" s="259">
        <f t="shared" si="444"/>
        <v>9.6021384951176791E-3</v>
      </c>
      <c r="II58" s="305">
        <f t="shared" si="445"/>
        <v>2334.1781978570243</v>
      </c>
      <c r="IJ58" s="305" t="e">
        <f t="shared" si="446"/>
        <v>#DIV/0!</v>
      </c>
    </row>
    <row r="59" spans="1:244" ht="15" customHeight="1" x14ac:dyDescent="0.25">
      <c r="B59" s="195">
        <f>IF($AL$5=1,$C59/10,IF($AL$5=2,$C59/10,IF($AL$5=3,0.5,IF($AL$5=4,$C59/10,))))</f>
        <v>0.6</v>
      </c>
      <c r="C59" s="336">
        <v>6</v>
      </c>
      <c r="D59" s="329">
        <f t="shared" si="361"/>
        <v>16232.951843727509</v>
      </c>
      <c r="E59" s="30">
        <f t="shared" si="362"/>
        <v>1396</v>
      </c>
      <c r="F59" s="330">
        <f t="shared" si="363"/>
        <v>17.974505497771883</v>
      </c>
      <c r="G59" s="329">
        <f t="shared" si="364"/>
        <v>3340.8780522374841</v>
      </c>
      <c r="H59" s="32">
        <f t="shared" si="365"/>
        <v>3340.8780522374841</v>
      </c>
      <c r="I59" s="30">
        <f>IF(Geg_dP&lt;AB59,ROUND(((IF('Briza 22 &amp; 26'!$M$4="High Perform. 208/230V (US/EU)",cal!HK59,H59)/Watts)/((Tr_cool-Tv_cool)*1.163))*FlowH2O,IF(UnitsNo=1,0,IF(UnitsNo=2,2))),"")</f>
        <v>1436</v>
      </c>
      <c r="J59" s="330">
        <f t="shared" si="366"/>
        <v>18.923465812941441</v>
      </c>
      <c r="K59" s="333">
        <f t="shared" si="367"/>
        <v>46.5</v>
      </c>
      <c r="L59" s="297">
        <f>IF(Geg_dP&lt;$AB59,IF(CalcNo="12",$ET59,IF(CalcNo="22",$ET59,IF(CalcNo="13",$EU59,IF(CalcNo="23",$EU59,IF(CalcNo="11",$ER59,IF(CalcNo="21",$ER59,IF(CalcNo="14",$ES59,IF(CalcNo="24",$ES59,IF(CalcNo="32",$EX59,IF(CalcNo="42",$EX59,IF(CalcNo="33",$EY59,IF(CalcNo="43",$EY59,IF(CalcNo="31",$EV59,IF(CalcNo="41",$EV59,IF(CalcNo="34",$EW59,IF(CalcNo="44",$EW59,)))))))))))))))),"")</f>
        <v>54.5</v>
      </c>
      <c r="M59" s="198">
        <f t="shared" si="368"/>
        <v>52.786463652114598</v>
      </c>
      <c r="N59" s="197">
        <f t="shared" si="369"/>
        <v>1346.8343600000001</v>
      </c>
      <c r="O59" s="480">
        <f t="shared" si="370"/>
        <v>0.89502549175970236</v>
      </c>
      <c r="P59" s="198">
        <f t="shared" si="371"/>
        <v>55.378474382176755</v>
      </c>
      <c r="Q59" s="297">
        <f t="shared" si="372"/>
        <v>24.673458633046103</v>
      </c>
      <c r="R59" s="509">
        <f t="shared" si="373"/>
        <v>19.627335538213401</v>
      </c>
      <c r="S59" s="36">
        <f t="shared" si="374"/>
        <v>17.016193007572845</v>
      </c>
      <c r="T59" s="300">
        <f t="shared" si="375"/>
        <v>0.7797228975092394</v>
      </c>
      <c r="U59" s="416">
        <f>IF(Geg_dP&lt;$AB59,$CK59*($N59/Cubics)^2+$CL59*($N59/Cubics)^1+$CM59,"")</f>
        <v>836.31696874153636</v>
      </c>
      <c r="V59" s="483">
        <f t="shared" si="376"/>
        <v>0.14109475878504654</v>
      </c>
      <c r="W59" s="513">
        <f t="shared" si="377"/>
        <v>2.4805411500175003</v>
      </c>
      <c r="X59" s="56">
        <f t="shared" si="1"/>
        <v>0.98161799999999999</v>
      </c>
      <c r="Y59" s="56">
        <f t="shared" si="166"/>
        <v>1.2733000000000001</v>
      </c>
      <c r="Z59" s="56">
        <f t="shared" si="167"/>
        <v>1.0929199999999999</v>
      </c>
      <c r="AA59" s="56">
        <f t="shared" si="13"/>
        <v>0.98161799999999999</v>
      </c>
      <c r="AB59" s="56">
        <f t="shared" si="14"/>
        <v>60.067900000000002</v>
      </c>
      <c r="AC59" s="95">
        <v>0.98161799999999999</v>
      </c>
      <c r="AD59" s="95">
        <v>1.2733000000000001</v>
      </c>
      <c r="AE59" s="95">
        <v>1.0929199999999999</v>
      </c>
      <c r="AF59" s="96">
        <v>38.4</v>
      </c>
      <c r="AG59" s="95">
        <v>0.98161799999999999</v>
      </c>
      <c r="AH59" s="95">
        <v>1.2733000000000001</v>
      </c>
      <c r="AI59" s="95">
        <v>1.0929199999999999</v>
      </c>
      <c r="AJ59" s="486">
        <v>70</v>
      </c>
      <c r="AK59" s="487">
        <v>0.98161799999999999</v>
      </c>
      <c r="AL59" s="487">
        <v>1.2733000000000001</v>
      </c>
      <c r="AM59" s="487">
        <v>1.0929199999999999</v>
      </c>
      <c r="AN59" s="486">
        <v>60.067900000000002</v>
      </c>
      <c r="AO59" s="487">
        <v>0.99547421584491202</v>
      </c>
      <c r="AP59" s="487">
        <v>1.174754876804744</v>
      </c>
      <c r="AQ59" s="487">
        <v>1.1067294843129272</v>
      </c>
      <c r="AR59" s="486">
        <v>131.57400000000001</v>
      </c>
      <c r="AS59" s="487">
        <v>0.98161799999999999</v>
      </c>
      <c r="AT59" s="487">
        <v>1.2733000000000001</v>
      </c>
      <c r="AU59" s="487">
        <v>1.0929199999999999</v>
      </c>
      <c r="AV59" s="486">
        <f t="shared" si="179"/>
        <v>38.4</v>
      </c>
      <c r="AW59" s="487">
        <v>0.98161799999999999</v>
      </c>
      <c r="AX59" s="487">
        <v>1.2733000000000001</v>
      </c>
      <c r="AY59" s="487">
        <v>1.0929199999999999</v>
      </c>
      <c r="AZ59" s="486">
        <f t="shared" si="180"/>
        <v>70</v>
      </c>
      <c r="BA59" s="95">
        <v>1.0049716964208173</v>
      </c>
      <c r="BB59" s="95">
        <v>1.2385624038262057</v>
      </c>
      <c r="BC59" s="95">
        <v>1.1162269648888619</v>
      </c>
      <c r="BD59" s="96">
        <f t="shared" si="181"/>
        <v>60.067900000000002</v>
      </c>
      <c r="BE59" s="95">
        <v>0.96936773239038132</v>
      </c>
      <c r="BF59" s="95">
        <v>1.0702467091432031</v>
      </c>
      <c r="BG59" s="95">
        <v>1.0806230008584556</v>
      </c>
      <c r="BH59" s="96">
        <f t="shared" si="182"/>
        <v>131.57400000000001</v>
      </c>
      <c r="BJ59" s="182"/>
      <c r="BK59" s="82">
        <f>IF($BK$17="11",BN59,IF($BK$17="21",BQ59,IF($BK$17="12",BN59,IF($BK$17="22",BQ59,IF($BK$17="13",BN59,IF($BK$17="23",BQ59,IF($BK$17="14",BN59,IF($BK$17="24",BQ59,IF($BK$17="31",BT59,IF($BK$17="41",BW59,IF($BK$17="32",BT59,IF($BK$17="42",BW59,IF($BK$17="33",BT59,IF($BK$17="43",BW59,IF($BK$17="34",BT59,IF($BK$17="44",BW59,))))))))))))))))</f>
        <v>-4.9756859000000002E-4</v>
      </c>
      <c r="BL59" s="83">
        <f>IF($BK$17="11",BO59,IF($BK$17="21",BR59,IF($BK$17="12",BO59,IF($BK$17="22",BR59,IF($BK$17="13",BO59,IF($BK$17="23",BR59,IF($BK$17="14",BO59,IF($BK$17="24",BR59,IF($BK$17="31",BU59,IF($BK$17="41",BX59,IF($BK$17="32",BU59,IF($BK$17="42",BX59,IF($BK$17="33",BU59,IF($BK$17="43",BX59,IF($BK$17="34",BU59,IF($BK$17="44",BX59,))))))))))))))))</f>
        <v>-4.2214151500000001E-4</v>
      </c>
      <c r="BM59" s="97"/>
      <c r="BN59" s="103">
        <v>-4.9756859000000002E-4</v>
      </c>
      <c r="BO59" s="104">
        <v>-4.2214151500000001E-4</v>
      </c>
      <c r="BP59" s="97"/>
      <c r="BQ59" s="103">
        <v>-6.0611305500000003E-4</v>
      </c>
      <c r="BR59" s="104">
        <f>BO59</f>
        <v>-4.2214151500000001E-4</v>
      </c>
      <c r="BS59" s="97"/>
      <c r="BT59" s="103">
        <v>-1.47549832E-4</v>
      </c>
      <c r="BU59" s="104">
        <v>-1.25688433E-4</v>
      </c>
      <c r="BV59" s="97"/>
      <c r="BW59" s="103">
        <f>BQ59</f>
        <v>-6.0611305500000003E-4</v>
      </c>
      <c r="BX59" s="104">
        <f>BU59</f>
        <v>-1.25688433E-4</v>
      </c>
      <c r="BY59" s="97"/>
      <c r="BZ59" s="131">
        <f t="shared" si="379"/>
        <v>0</v>
      </c>
      <c r="CA59" s="132">
        <f t="shared" si="379"/>
        <v>0</v>
      </c>
      <c r="CB59" s="132">
        <f t="shared" si="380"/>
        <v>1.78950031E-4</v>
      </c>
      <c r="CC59" s="132">
        <f t="shared" si="381"/>
        <v>-3.1622252900000002E-2</v>
      </c>
      <c r="CD59" s="132">
        <f t="shared" si="382"/>
        <v>-20.072758799999999</v>
      </c>
      <c r="CE59" s="133">
        <f t="shared" si="383"/>
        <v>1346.8343600000001</v>
      </c>
      <c r="CF59" s="131">
        <f t="shared" si="384"/>
        <v>0</v>
      </c>
      <c r="CG59" s="132">
        <f t="shared" si="385"/>
        <v>1.27740506E-8</v>
      </c>
      <c r="CH59" s="132">
        <f t="shared" si="386"/>
        <v>-4.8626254300000001E-5</v>
      </c>
      <c r="CI59" s="132">
        <f t="shared" si="387"/>
        <v>7.6723677300000001E-2</v>
      </c>
      <c r="CJ59" s="132">
        <f t="shared" si="388"/>
        <v>6.4502171400000003</v>
      </c>
      <c r="CK59" s="131">
        <f t="shared" si="389"/>
        <v>0</v>
      </c>
      <c r="CL59" s="132">
        <f t="shared" si="390"/>
        <v>-0.12149347100000001</v>
      </c>
      <c r="CM59" s="133">
        <f t="shared" si="391"/>
        <v>999.94854999999995</v>
      </c>
      <c r="CN59" s="350"/>
      <c r="CO59" s="386"/>
      <c r="CP59" s="113">
        <v>1.2737822500000001E-2</v>
      </c>
      <c r="CQ59" s="113">
        <v>-0.53342270800000002</v>
      </c>
      <c r="CR59" s="113">
        <v>-18.4235887</v>
      </c>
      <c r="CS59" s="116">
        <v>1180.47893</v>
      </c>
      <c r="CT59" s="350"/>
      <c r="CU59" s="390"/>
      <c r="CV59" s="386"/>
      <c r="CW59" s="113">
        <v>1.6128909E-2</v>
      </c>
      <c r="CX59" s="116">
        <v>22.362730599999999</v>
      </c>
      <c r="CY59" s="352"/>
      <c r="CZ59" s="113">
        <f xml:space="preserve"> -0.118203123</f>
        <v>-0.11820312299999999</v>
      </c>
      <c r="DA59" s="423">
        <v>890.87778900000001</v>
      </c>
      <c r="DB59" s="357"/>
      <c r="DC59" s="113">
        <v>4.7291960200000001E-5</v>
      </c>
      <c r="DD59" s="113">
        <v>-5.83093907E-3</v>
      </c>
      <c r="DE59" s="113">
        <v>0.16038544599999999</v>
      </c>
      <c r="DF59" s="113">
        <v>-18.701725400000001</v>
      </c>
      <c r="DG59" s="116">
        <v>1432.6356599999999</v>
      </c>
      <c r="DH59" s="357"/>
      <c r="DI59" s="115">
        <v>-9.4558742800000004E-9</v>
      </c>
      <c r="DJ59" s="113">
        <v>2.50525043E-5</v>
      </c>
      <c r="DK59" s="113">
        <v>6.83842944E-3</v>
      </c>
      <c r="DL59" s="116">
        <v>41.791776300000002</v>
      </c>
      <c r="DM59" s="113">
        <v>4.6401042600000003E-5</v>
      </c>
      <c r="DN59" s="113">
        <v>-0.176050758</v>
      </c>
      <c r="DO59" s="423">
        <v>1323.3980300000001</v>
      </c>
      <c r="DP59" s="429"/>
      <c r="DQ59" s="386"/>
      <c r="DR59" s="113">
        <v>1.78950031E-4</v>
      </c>
      <c r="DS59" s="113">
        <v>-3.1622252900000002E-2</v>
      </c>
      <c r="DT59" s="113">
        <v>-20.072758799999999</v>
      </c>
      <c r="DU59" s="116">
        <v>1346.8343600000001</v>
      </c>
      <c r="DV59" s="378"/>
      <c r="DW59" s="126">
        <v>1.27740506E-8</v>
      </c>
      <c r="DX59" s="120">
        <v>-4.8626254300000001E-5</v>
      </c>
      <c r="DY59" s="120">
        <v>7.6723677300000001E-2</v>
      </c>
      <c r="DZ59" s="114">
        <v>6.4502171400000003</v>
      </c>
      <c r="EA59" s="352"/>
      <c r="EB59" s="113">
        <v>-0.12149347100000001</v>
      </c>
      <c r="EC59" s="423">
        <v>999.94854999999995</v>
      </c>
      <c r="ED59" s="429"/>
      <c r="EE59" s="386"/>
      <c r="EF59" s="113">
        <v>3.0011934499999998E-4</v>
      </c>
      <c r="EG59" s="113">
        <v>-8.2086641000000002E-2</v>
      </c>
      <c r="EH59" s="113">
        <v>-9.3259004599999997</v>
      </c>
      <c r="EI59" s="116">
        <v>2572.2341299999998</v>
      </c>
      <c r="EJ59" s="378"/>
      <c r="EK59" s="115">
        <v>2.7182551199999999E-9</v>
      </c>
      <c r="EL59" s="113">
        <v>-1.7657108700000001E-5</v>
      </c>
      <c r="EM59" s="113">
        <v>9.3046081700000005E-2</v>
      </c>
      <c r="EN59" s="116">
        <v>56.011101600000003</v>
      </c>
      <c r="EO59" s="378"/>
      <c r="EP59" s="395">
        <v>-0.106229161</v>
      </c>
      <c r="EQ59" s="433">
        <v>1692.1881000000001</v>
      </c>
      <c r="ER59" s="458">
        <v>54.5</v>
      </c>
      <c r="ES59" s="365"/>
      <c r="ET59" s="137">
        <v>54.5</v>
      </c>
      <c r="EU59" s="365"/>
      <c r="EV59" s="137">
        <f>EX59</f>
        <v>54</v>
      </c>
      <c r="EW59" s="365"/>
      <c r="EX59" s="137">
        <v>54</v>
      </c>
      <c r="EY59" s="360"/>
      <c r="EZ59" s="137">
        <f t="shared" si="392"/>
        <v>17.5</v>
      </c>
      <c r="FA59" s="143">
        <f>Tavg_cold</f>
        <v>17</v>
      </c>
      <c r="FB59" s="143">
        <f t="shared" si="393"/>
        <v>17.5</v>
      </c>
      <c r="FC59" s="143">
        <f t="shared" si="394"/>
        <v>17.5</v>
      </c>
      <c r="FD59" s="143">
        <f t="shared" si="395"/>
        <v>17.5</v>
      </c>
      <c r="FE59" s="143">
        <f t="shared" si="447"/>
        <v>18.2</v>
      </c>
      <c r="FF59" s="497">
        <f t="shared" si="396"/>
        <v>17.5</v>
      </c>
      <c r="FG59" s="497">
        <f>FH59*1.05</f>
        <v>18.375</v>
      </c>
      <c r="FH59" s="497">
        <f t="shared" si="397"/>
        <v>17.5</v>
      </c>
      <c r="FJ59" s="344">
        <f t="shared" si="398"/>
        <v>0.5</v>
      </c>
      <c r="FK59" s="241">
        <f t="shared" si="399"/>
        <v>0.98250000000000004</v>
      </c>
      <c r="FL59" s="495">
        <f t="shared" si="400"/>
        <v>1.4700000000000002</v>
      </c>
      <c r="FM59" s="230">
        <f t="shared" si="448"/>
        <v>0.52360488662048821</v>
      </c>
      <c r="FN59" s="226">
        <f>DU59</f>
        <v>1346.8343600000001</v>
      </c>
      <c r="FO59" s="226">
        <f>EI59</f>
        <v>2572.2341299999998</v>
      </c>
      <c r="FP59" s="222">
        <f>FN59/FO59</f>
        <v>0.52360488662048821</v>
      </c>
      <c r="FQ59" s="238">
        <f t="shared" si="401"/>
        <v>1346.8343600000001</v>
      </c>
      <c r="FR59" s="241">
        <f t="shared" si="402"/>
        <v>0</v>
      </c>
      <c r="FS59" s="242">
        <f t="shared" si="449"/>
        <v>1225.3997699999998</v>
      </c>
      <c r="FT59" s="248">
        <f t="shared" si="450"/>
        <v>0</v>
      </c>
      <c r="FU59" s="224">
        <f t="shared" si="403"/>
        <v>17.5</v>
      </c>
      <c r="FV59" s="224">
        <f t="shared" si="404"/>
        <v>17.685000000000002</v>
      </c>
      <c r="FW59" s="224">
        <f t="shared" si="405"/>
        <v>0.18500000000000227</v>
      </c>
      <c r="FX59" s="224">
        <f t="shared" si="406"/>
        <v>23.520000000000003</v>
      </c>
      <c r="FY59" s="224">
        <f t="shared" si="407"/>
        <v>6.0200000000000031</v>
      </c>
      <c r="FZ59" s="224">
        <f t="shared" si="408"/>
        <v>17.5</v>
      </c>
      <c r="GA59" s="500">
        <f t="shared" si="409"/>
        <v>17.5</v>
      </c>
      <c r="GC59" s="161">
        <f t="shared" si="410"/>
        <v>15.69066559142683</v>
      </c>
      <c r="GE59" s="259">
        <f t="shared" si="411"/>
        <v>0</v>
      </c>
      <c r="GG59" s="305">
        <f t="shared" si="412"/>
        <v>2334.1781978570243</v>
      </c>
      <c r="GH59" s="305">
        <f t="shared" si="413"/>
        <v>15967.965942470813</v>
      </c>
      <c r="GI59" s="305">
        <f t="shared" si="414"/>
        <v>1167.0890989285122</v>
      </c>
      <c r="GJ59" s="305">
        <f t="shared" si="415"/>
        <v>1167.0890989285119</v>
      </c>
      <c r="GK59" s="305">
        <f t="shared" si="416"/>
        <v>7.2478490515896785E-3</v>
      </c>
      <c r="GL59" s="305">
        <f t="shared" si="15"/>
        <v>7.2478490515896785E-3</v>
      </c>
      <c r="GM59" s="305">
        <f t="shared" si="417"/>
        <v>38.490692183503647</v>
      </c>
      <c r="GN59" s="305">
        <f t="shared" si="418"/>
        <v>74.525560302126706</v>
      </c>
      <c r="GO59" s="306">
        <f t="shared" si="16"/>
        <v>7.3089403066945779E-2</v>
      </c>
      <c r="GQ59" s="305">
        <f t="shared" si="419"/>
        <v>3557.0118570174286</v>
      </c>
      <c r="GR59" s="305">
        <f t="shared" si="420"/>
        <v>2280.9461337995908</v>
      </c>
      <c r="GS59" s="305">
        <f t="shared" si="421"/>
        <v>1778.5059285087143</v>
      </c>
      <c r="GT59" s="305">
        <f t="shared" si="422"/>
        <v>1778.5059285087143</v>
      </c>
      <c r="GU59" s="305">
        <f t="shared" si="423"/>
        <v>1778.5059285087143</v>
      </c>
      <c r="GV59" s="307">
        <f t="shared" si="424"/>
        <v>1.1112703645172665E-2</v>
      </c>
      <c r="GW59" s="307">
        <f t="shared" si="425"/>
        <v>1.1112703645172665E-2</v>
      </c>
      <c r="GX59" s="305">
        <f t="shared" si="426"/>
        <v>1.1112703645172665E-2</v>
      </c>
      <c r="GY59" s="305">
        <f t="shared" si="427"/>
        <v>55.477839519976428</v>
      </c>
      <c r="GZ59" s="305">
        <f t="shared" si="428"/>
        <v>55.477839519976428</v>
      </c>
      <c r="HA59" s="305">
        <f t="shared" si="429"/>
        <v>47.915102195983721</v>
      </c>
      <c r="HB59" s="305">
        <f t="shared" si="17"/>
        <v>19.415087041495514</v>
      </c>
      <c r="HC59" s="305">
        <f t="shared" si="18"/>
        <v>19.415087041495514</v>
      </c>
      <c r="HD59" s="529">
        <f t="shared" si="430"/>
        <v>3340.8780522374841</v>
      </c>
      <c r="HE59" s="57">
        <f t="shared" si="7"/>
        <v>1346.8343600000001</v>
      </c>
      <c r="HF59" s="57">
        <f t="shared" si="431"/>
        <v>3340.8780522374841</v>
      </c>
      <c r="HG59" s="525">
        <f t="shared" si="9"/>
        <v>17.5</v>
      </c>
      <c r="HH59" s="525">
        <f t="shared" si="10"/>
        <v>17.5</v>
      </c>
      <c r="HI59" s="503">
        <f t="shared" si="75"/>
        <v>3340.8780522374841</v>
      </c>
      <c r="HJ59" s="2">
        <f t="shared" si="90"/>
        <v>1</v>
      </c>
      <c r="HK59" s="503">
        <f t="shared" si="76"/>
        <v>3340.8780522374841</v>
      </c>
      <c r="HL59" s="344">
        <f t="shared" si="432"/>
        <v>0.5</v>
      </c>
      <c r="HM59" s="241">
        <f t="shared" si="433"/>
        <v>0.98250000000000004</v>
      </c>
      <c r="HN59" s="495">
        <f t="shared" si="434"/>
        <v>1.4700000000000002</v>
      </c>
      <c r="HO59" s="230">
        <f t="shared" si="451"/>
        <v>0.52360488662048821</v>
      </c>
      <c r="HP59" s="226">
        <f t="shared" si="435"/>
        <v>1346.8343600000001</v>
      </c>
      <c r="HQ59" s="226">
        <f t="shared" si="80"/>
        <v>2572.2341299999998</v>
      </c>
      <c r="HR59" s="222">
        <f>HP59/HQ59</f>
        <v>0.52360488662048821</v>
      </c>
      <c r="HS59" s="251">
        <f t="shared" si="11"/>
        <v>1346.8343600000001</v>
      </c>
      <c r="HT59" s="241">
        <f t="shared" si="436"/>
        <v>0</v>
      </c>
      <c r="HU59" s="242">
        <f t="shared" si="452"/>
        <v>1225.3997699999998</v>
      </c>
      <c r="HV59" s="248">
        <f t="shared" si="453"/>
        <v>0</v>
      </c>
      <c r="HW59" s="224">
        <f t="shared" si="12"/>
        <v>17.5</v>
      </c>
      <c r="HX59" s="224">
        <f t="shared" si="437"/>
        <v>17.685000000000002</v>
      </c>
      <c r="HY59" s="224">
        <f t="shared" si="438"/>
        <v>0.18500000000000227</v>
      </c>
      <c r="HZ59" s="224">
        <f t="shared" si="439"/>
        <v>23.520000000000003</v>
      </c>
      <c r="IA59" s="224">
        <f t="shared" si="440"/>
        <v>6.0200000000000031</v>
      </c>
      <c r="IB59" s="224">
        <f t="shared" si="441"/>
        <v>17.5</v>
      </c>
      <c r="IC59" s="500">
        <f t="shared" si="442"/>
        <v>17.5</v>
      </c>
      <c r="IE59" s="161">
        <f t="shared" si="443"/>
        <v>15.69066559142683</v>
      </c>
      <c r="IG59" s="259">
        <f t="shared" si="444"/>
        <v>9.6021384951176791E-3</v>
      </c>
      <c r="II59" s="305">
        <f t="shared" si="445"/>
        <v>2334.1781978570243</v>
      </c>
      <c r="IJ59" s="305">
        <f t="shared" si="446"/>
        <v>15967.965942470813</v>
      </c>
    </row>
    <row r="60" spans="1:244" ht="15" customHeight="1" x14ac:dyDescent="0.25">
      <c r="B60" s="195">
        <f>IF($AL$5=1,$C60/10,IF($AL$5=2,$C60/10,IF($AL$5=3,0.75,IF($AL$5=4,$C60/10,))))</f>
        <v>0.7</v>
      </c>
      <c r="C60" s="336">
        <v>7</v>
      </c>
      <c r="D60" s="329">
        <f t="shared" si="361"/>
        <v>5.30344505500896</v>
      </c>
      <c r="E60" s="30">
        <f t="shared" si="362"/>
        <v>0</v>
      </c>
      <c r="F60" s="330">
        <f t="shared" si="363"/>
        <v>0</v>
      </c>
      <c r="G60" s="329">
        <f t="shared" si="364"/>
        <v>-4.9094272368746896</v>
      </c>
      <c r="H60" s="32">
        <f t="shared" si="365"/>
        <v>-4.9094272368746896</v>
      </c>
      <c r="I60" s="30">
        <f>IF(Geg_dP&lt;AB60,ROUND(((IF('Briza 22 &amp; 26'!$M$4="High Perform. 208/230V (US/EU)",cal!HK60,H60)/Watts)/((Tr_cool-Tv_cool)*1.163))*FlowH2O,IF(UnitsNo=1,0,IF(UnitsNo=2,2))),"")</f>
        <v>-2</v>
      </c>
      <c r="J60" s="330" t="e">
        <f t="shared" si="366"/>
        <v>#NUM!</v>
      </c>
      <c r="K60" s="333">
        <f t="shared" si="367"/>
        <v>0</v>
      </c>
      <c r="L60" s="297">
        <f>IF(Geg_dP&lt;$AB60,0,"")</f>
        <v>0</v>
      </c>
      <c r="M60" s="198">
        <f t="shared" si="368"/>
        <v>0</v>
      </c>
      <c r="N60" s="197">
        <f t="shared" si="369"/>
        <v>0</v>
      </c>
      <c r="O60" s="480">
        <f t="shared" si="370"/>
        <v>0</v>
      </c>
      <c r="P60" s="198" t="e">
        <f t="shared" si="371"/>
        <v>#DIV/0!</v>
      </c>
      <c r="Q60" s="297" t="e">
        <f t="shared" si="372"/>
        <v>#DIV/0!</v>
      </c>
      <c r="R60" s="509" t="e">
        <f t="shared" si="373"/>
        <v>#DIV/0!</v>
      </c>
      <c r="S60" s="36" t="e">
        <f t="shared" si="374"/>
        <v>#DIV/0!</v>
      </c>
      <c r="T60" s="300" t="e">
        <f t="shared" si="375"/>
        <v>#DIV/0!</v>
      </c>
      <c r="U60" s="416">
        <f>IF(Geg_dP&lt;$AB60,$CK60*($N60/Cubics)^2+$CL60*($N60/Cubics)^1+$CM60,"")</f>
        <v>0</v>
      </c>
      <c r="V60" s="483" t="e">
        <f t="shared" si="376"/>
        <v>#DIV/0!</v>
      </c>
      <c r="W60" s="513" t="e">
        <f t="shared" si="377"/>
        <v>#DIV/0!</v>
      </c>
      <c r="X60" s="56">
        <f t="shared" si="1"/>
        <v>0.98161799999999999</v>
      </c>
      <c r="Y60" s="56">
        <f t="shared" si="166"/>
        <v>1.2733000000000001</v>
      </c>
      <c r="Z60" s="56">
        <f t="shared" si="167"/>
        <v>1.0929199999999999</v>
      </c>
      <c r="AA60" s="56">
        <f t="shared" si="13"/>
        <v>0.98161799999999999</v>
      </c>
      <c r="AB60" s="56">
        <f t="shared" si="14"/>
        <v>68.743200000000002</v>
      </c>
      <c r="AC60" s="95">
        <v>0.98161799999999999</v>
      </c>
      <c r="AD60" s="95">
        <v>1.2733000000000001</v>
      </c>
      <c r="AE60" s="95">
        <v>1.0929199999999999</v>
      </c>
      <c r="AF60" s="96">
        <f>AF59+((AF61-AF59)/2)</f>
        <v>51.7</v>
      </c>
      <c r="AG60" s="95">
        <v>0.98161799999999999</v>
      </c>
      <c r="AH60" s="95">
        <v>1.2733000000000001</v>
      </c>
      <c r="AI60" s="95">
        <v>1.0929199999999999</v>
      </c>
      <c r="AJ60" s="486">
        <f>AJ59+((AJ61-AJ59)/2)</f>
        <v>92.5</v>
      </c>
      <c r="AK60" s="487">
        <v>0.98161799999999999</v>
      </c>
      <c r="AL60" s="487">
        <v>1.2733000000000001</v>
      </c>
      <c r="AM60" s="487">
        <v>1.0929199999999999</v>
      </c>
      <c r="AN60" s="486">
        <f>AN59+((AN61-AN59)/2)</f>
        <v>68.743200000000002</v>
      </c>
      <c r="AO60" s="487">
        <v>0.99547421584491202</v>
      </c>
      <c r="AP60" s="487">
        <v>1.174754876804744</v>
      </c>
      <c r="AQ60" s="487">
        <v>1.1067294843129272</v>
      </c>
      <c r="AR60" s="486">
        <v>210</v>
      </c>
      <c r="AS60" s="487">
        <v>0.98161799999999999</v>
      </c>
      <c r="AT60" s="487">
        <v>1.2733000000000001</v>
      </c>
      <c r="AU60" s="487">
        <v>1.0929199999999999</v>
      </c>
      <c r="AV60" s="486">
        <f t="shared" si="179"/>
        <v>51.7</v>
      </c>
      <c r="AW60" s="487">
        <v>0.98161799999999999</v>
      </c>
      <c r="AX60" s="487">
        <v>1.2733000000000001</v>
      </c>
      <c r="AY60" s="487">
        <v>1.0929199999999999</v>
      </c>
      <c r="AZ60" s="486">
        <f t="shared" si="180"/>
        <v>92.5</v>
      </c>
      <c r="BA60" s="95">
        <v>1.0049716964208173</v>
      </c>
      <c r="BB60" s="95">
        <v>1.2385624038262057</v>
      </c>
      <c r="BC60" s="95">
        <v>1.1162269648888619</v>
      </c>
      <c r="BD60" s="96">
        <f t="shared" si="181"/>
        <v>68.743200000000002</v>
      </c>
      <c r="BE60" s="95">
        <v>0.96936773239038132</v>
      </c>
      <c r="BF60" s="95">
        <v>1.0702467091432031</v>
      </c>
      <c r="BG60" s="95">
        <v>1.0806230008584556</v>
      </c>
      <c r="BH60" s="96">
        <f t="shared" si="182"/>
        <v>210</v>
      </c>
      <c r="BJ60" s="182"/>
      <c r="BK60" s="252"/>
      <c r="BL60" s="253"/>
      <c r="BM60" s="253"/>
      <c r="BN60" s="252"/>
      <c r="BO60" s="253"/>
      <c r="BP60" s="254"/>
      <c r="BQ60" s="252"/>
      <c r="BR60" s="253"/>
      <c r="BS60" s="254"/>
      <c r="BT60" s="252"/>
      <c r="BU60" s="253"/>
      <c r="BV60" s="254"/>
      <c r="BW60" s="252"/>
      <c r="BX60" s="253"/>
      <c r="BY60" s="254"/>
      <c r="BZ60" s="131">
        <f t="shared" si="379"/>
        <v>0</v>
      </c>
      <c r="CA60" s="132">
        <f t="shared" si="379"/>
        <v>0</v>
      </c>
      <c r="CB60" s="132">
        <f t="shared" si="380"/>
        <v>0</v>
      </c>
      <c r="CC60" s="132">
        <f t="shared" si="381"/>
        <v>0</v>
      </c>
      <c r="CD60" s="132">
        <f t="shared" si="382"/>
        <v>0</v>
      </c>
      <c r="CE60" s="133">
        <f t="shared" si="383"/>
        <v>0</v>
      </c>
      <c r="CF60" s="131">
        <f t="shared" si="384"/>
        <v>0</v>
      </c>
      <c r="CG60" s="132">
        <f t="shared" si="385"/>
        <v>0</v>
      </c>
      <c r="CH60" s="132">
        <f t="shared" si="386"/>
        <v>0</v>
      </c>
      <c r="CI60" s="132">
        <f t="shared" si="387"/>
        <v>0</v>
      </c>
      <c r="CJ60" s="132">
        <f t="shared" si="388"/>
        <v>0</v>
      </c>
      <c r="CK60" s="131">
        <f t="shared" si="389"/>
        <v>0</v>
      </c>
      <c r="CL60" s="132">
        <f t="shared" si="390"/>
        <v>0</v>
      </c>
      <c r="CM60" s="133">
        <f t="shared" si="391"/>
        <v>0</v>
      </c>
      <c r="CN60" s="384"/>
      <c r="CO60" s="374"/>
      <c r="CP60" s="380"/>
      <c r="CQ60" s="380"/>
      <c r="CR60" s="380"/>
      <c r="CS60" s="381"/>
      <c r="CT60" s="384"/>
      <c r="CU60" s="374"/>
      <c r="CV60" s="374"/>
      <c r="CW60" s="380"/>
      <c r="CX60" s="381"/>
      <c r="CY60" s="374"/>
      <c r="CZ60" s="380"/>
      <c r="DA60" s="427"/>
      <c r="DB60" s="453"/>
      <c r="DC60" s="380"/>
      <c r="DD60" s="380"/>
      <c r="DE60" s="380"/>
      <c r="DF60" s="380"/>
      <c r="DG60" s="381"/>
      <c r="DH60" s="384"/>
      <c r="DI60" s="380"/>
      <c r="DJ60" s="380"/>
      <c r="DK60" s="380"/>
      <c r="DL60" s="381"/>
      <c r="DM60" s="380"/>
      <c r="DN60" s="380"/>
      <c r="DO60" s="427"/>
      <c r="DP60" s="426"/>
      <c r="DQ60" s="374"/>
      <c r="DR60" s="380"/>
      <c r="DS60" s="380"/>
      <c r="DT60" s="380"/>
      <c r="DU60" s="381"/>
      <c r="DV60" s="375"/>
      <c r="DW60" s="382"/>
      <c r="DX60" s="382"/>
      <c r="DY60" s="382"/>
      <c r="DZ60" s="383"/>
      <c r="EA60" s="374"/>
      <c r="EB60" s="380"/>
      <c r="EC60" s="427"/>
      <c r="ED60" s="429"/>
      <c r="EE60" s="386"/>
      <c r="EF60" s="113">
        <v>-9.8673230000000008E-6</v>
      </c>
      <c r="EG60" s="113">
        <v>-1.4391284400000001E-2</v>
      </c>
      <c r="EH60" s="113">
        <v>-10.149361499999999</v>
      </c>
      <c r="EI60" s="116">
        <v>2797.2842099999998</v>
      </c>
      <c r="EJ60" s="378"/>
      <c r="EK60" s="115">
        <v>1.3591275599999999E-9</v>
      </c>
      <c r="EL60" s="113">
        <v>-2.1554705300000001E-5</v>
      </c>
      <c r="EM60" s="113">
        <v>0.130686737</v>
      </c>
      <c r="EN60" s="116">
        <v>63.699754300000002</v>
      </c>
      <c r="EO60" s="378"/>
      <c r="EP60" s="395">
        <v>-0.14824047600000001</v>
      </c>
      <c r="EQ60" s="433">
        <v>1959.39204</v>
      </c>
      <c r="ER60" s="459"/>
      <c r="ES60" s="441"/>
      <c r="ET60" s="443"/>
      <c r="EU60" s="441"/>
      <c r="EV60" s="443"/>
      <c r="EW60" s="441"/>
      <c r="EX60" s="443"/>
      <c r="EY60" s="442"/>
      <c r="EZ60" s="137">
        <f t="shared" si="392"/>
        <v>17</v>
      </c>
      <c r="FA60" s="143">
        <f>((FA61-FA59)/2)+FA59</f>
        <v>17</v>
      </c>
      <c r="FB60" s="143">
        <f t="shared" si="393"/>
        <v>17</v>
      </c>
      <c r="FC60" s="143">
        <f t="shared" si="394"/>
        <v>17</v>
      </c>
      <c r="FD60" s="143">
        <f t="shared" si="395"/>
        <v>17</v>
      </c>
      <c r="FE60" s="143">
        <f>((FE61-FE59)/2)+FE59</f>
        <v>18.2</v>
      </c>
      <c r="FF60" s="497">
        <f t="shared" si="396"/>
        <v>17</v>
      </c>
      <c r="FG60" s="497">
        <f>((FG61-FG59)/2)+FG59</f>
        <v>18.375</v>
      </c>
      <c r="FH60" s="497">
        <f t="shared" si="397"/>
        <v>17</v>
      </c>
      <c r="FJ60" s="344">
        <f t="shared" si="398"/>
        <v>0</v>
      </c>
      <c r="FK60" s="241">
        <f t="shared" si="399"/>
        <v>0.98250000000000004</v>
      </c>
      <c r="FL60" s="495">
        <f t="shared" si="400"/>
        <v>1.4700000000000002</v>
      </c>
      <c r="FM60" s="230">
        <f t="shared" si="448"/>
        <v>0</v>
      </c>
      <c r="FN60" s="226">
        <f>((FN61-FN59)/2)+FN59</f>
        <v>1523.645145</v>
      </c>
      <c r="FO60" s="226">
        <f>((FO61-FO59)/2)+FO59</f>
        <v>2797.2842099999998</v>
      </c>
      <c r="FP60" s="222">
        <f>FN60/FO60</f>
        <v>0.5446872861731844</v>
      </c>
      <c r="FQ60" s="238">
        <f t="shared" si="401"/>
        <v>0</v>
      </c>
      <c r="FR60" s="241">
        <f t="shared" si="402"/>
        <v>0</v>
      </c>
      <c r="FS60" s="242">
        <f t="shared" si="449"/>
        <v>1273.6390649999998</v>
      </c>
      <c r="FT60" s="248">
        <f t="shared" si="450"/>
        <v>0</v>
      </c>
      <c r="FU60" s="224">
        <f t="shared" si="403"/>
        <v>17</v>
      </c>
      <c r="FV60" s="224">
        <f t="shared" si="404"/>
        <v>17.685000000000002</v>
      </c>
      <c r="FW60" s="224">
        <f t="shared" si="405"/>
        <v>0.68500000000000227</v>
      </c>
      <c r="FX60" s="224">
        <f t="shared" si="406"/>
        <v>23.520000000000003</v>
      </c>
      <c r="FY60" s="224">
        <f t="shared" si="407"/>
        <v>6.5200000000000031</v>
      </c>
      <c r="FZ60" s="224">
        <f t="shared" si="408"/>
        <v>17</v>
      </c>
      <c r="GA60" s="500">
        <f t="shared" si="409"/>
        <v>17</v>
      </c>
      <c r="GC60" s="161">
        <f t="shared" si="410"/>
        <v>15.69066559142683</v>
      </c>
      <c r="GE60" s="259">
        <f t="shared" si="411"/>
        <v>0</v>
      </c>
      <c r="GG60" s="305">
        <f t="shared" si="412"/>
        <v>2334.1781978570243</v>
      </c>
      <c r="GH60" s="305" t="e">
        <f t="shared" si="413"/>
        <v>#DIV/0!</v>
      </c>
      <c r="GI60" s="305">
        <f t="shared" si="414"/>
        <v>1167.0890989285122</v>
      </c>
      <c r="GJ60" s="305">
        <f t="shared" si="415"/>
        <v>1167.0890989285119</v>
      </c>
      <c r="GK60" s="305">
        <f t="shared" si="416"/>
        <v>7.2478490515896785E-3</v>
      </c>
      <c r="GL60" s="305">
        <f t="shared" si="15"/>
        <v>7.2478490515896785E-3</v>
      </c>
      <c r="GM60" s="305">
        <f t="shared" si="417"/>
        <v>38.490692183503647</v>
      </c>
      <c r="GN60" s="305" t="e">
        <f t="shared" si="418"/>
        <v>#DIV/0!</v>
      </c>
      <c r="GO60" s="306" t="e">
        <f t="shared" si="16"/>
        <v>#DIV/0!</v>
      </c>
      <c r="GQ60" s="305">
        <f t="shared" si="419"/>
        <v>3557.0118570174286</v>
      </c>
      <c r="GR60" s="305" t="e">
        <f t="shared" si="420"/>
        <v>#DIV/0!</v>
      </c>
      <c r="GS60" s="305">
        <f t="shared" si="421"/>
        <v>1778.5059285087143</v>
      </c>
      <c r="GT60" s="305">
        <f t="shared" si="422"/>
        <v>1778.5059285087143</v>
      </c>
      <c r="GU60" s="305" t="e">
        <f t="shared" si="423"/>
        <v>#DIV/0!</v>
      </c>
      <c r="GV60" s="307">
        <f t="shared" si="424"/>
        <v>1.1112703645172665E-2</v>
      </c>
      <c r="GW60" s="307">
        <f t="shared" si="425"/>
        <v>1.1112703645172665E-2</v>
      </c>
      <c r="GX60" s="305" t="e">
        <f t="shared" si="426"/>
        <v>#DIV/0!</v>
      </c>
      <c r="GY60" s="305">
        <f t="shared" si="427"/>
        <v>55.477839519976428</v>
      </c>
      <c r="GZ60" s="305" t="e">
        <f t="shared" si="428"/>
        <v>#DIV/0!</v>
      </c>
      <c r="HA60" s="305" t="e">
        <f t="shared" si="429"/>
        <v>#DIV/0!</v>
      </c>
      <c r="HB60" s="305">
        <f t="shared" si="17"/>
        <v>19.415087041495514</v>
      </c>
      <c r="HC60" s="305" t="e">
        <f t="shared" si="18"/>
        <v>#DIV/0!</v>
      </c>
      <c r="HD60" s="529">
        <f t="shared" si="430"/>
        <v>-4.9094272368746896</v>
      </c>
      <c r="HE60" s="57">
        <f t="shared" si="7"/>
        <v>0</v>
      </c>
      <c r="HF60" s="57">
        <f t="shared" si="431"/>
        <v>-4.9094272368746896</v>
      </c>
      <c r="HG60" s="525">
        <f t="shared" si="9"/>
        <v>17</v>
      </c>
      <c r="HH60" s="525">
        <f t="shared" si="10"/>
        <v>17</v>
      </c>
      <c r="HI60" s="503">
        <f t="shared" si="75"/>
        <v>-4.9094272368746896</v>
      </c>
      <c r="HJ60" s="2">
        <f t="shared" si="90"/>
        <v>1</v>
      </c>
      <c r="HK60" s="503">
        <f t="shared" si="76"/>
        <v>-4.9094272368746896</v>
      </c>
      <c r="HL60" s="344">
        <f t="shared" si="432"/>
        <v>0</v>
      </c>
      <c r="HM60" s="241">
        <f t="shared" si="433"/>
        <v>0.98250000000000004</v>
      </c>
      <c r="HN60" s="495">
        <f t="shared" si="434"/>
        <v>1.4700000000000002</v>
      </c>
      <c r="HO60" s="230">
        <f t="shared" si="451"/>
        <v>0</v>
      </c>
      <c r="HP60" s="226">
        <f>((HP61-HP59)/2)+HP59</f>
        <v>1523.645145</v>
      </c>
      <c r="HQ60" s="226">
        <f t="shared" si="80"/>
        <v>2797.2842099999998</v>
      </c>
      <c r="HR60" s="222">
        <f>HP60/HQ60</f>
        <v>0.5446872861731844</v>
      </c>
      <c r="HS60" s="251">
        <f t="shared" si="11"/>
        <v>0</v>
      </c>
      <c r="HT60" s="241">
        <f t="shared" si="436"/>
        <v>0</v>
      </c>
      <c r="HU60" s="242">
        <f t="shared" si="452"/>
        <v>1273.6390649999998</v>
      </c>
      <c r="HV60" s="248">
        <f t="shared" si="453"/>
        <v>0</v>
      </c>
      <c r="HW60" s="224">
        <f t="shared" si="12"/>
        <v>17</v>
      </c>
      <c r="HX60" s="224">
        <f t="shared" si="437"/>
        <v>17.685000000000002</v>
      </c>
      <c r="HY60" s="224">
        <f t="shared" si="438"/>
        <v>0.68500000000000227</v>
      </c>
      <c r="HZ60" s="224">
        <f t="shared" si="439"/>
        <v>23.520000000000003</v>
      </c>
      <c r="IA60" s="224">
        <f t="shared" si="440"/>
        <v>6.5200000000000031</v>
      </c>
      <c r="IB60" s="224">
        <f t="shared" si="441"/>
        <v>17</v>
      </c>
      <c r="IC60" s="500">
        <f t="shared" si="442"/>
        <v>17</v>
      </c>
      <c r="IE60" s="161">
        <f t="shared" si="443"/>
        <v>15.69066559142683</v>
      </c>
      <c r="IG60" s="259">
        <f t="shared" si="444"/>
        <v>9.6021384951176791E-3</v>
      </c>
      <c r="II60" s="305">
        <f t="shared" si="445"/>
        <v>2334.1781978570243</v>
      </c>
      <c r="IJ60" s="305" t="e">
        <f t="shared" si="446"/>
        <v>#DIV/0!</v>
      </c>
    </row>
    <row r="61" spans="1:244" ht="15" customHeight="1" x14ac:dyDescent="0.25">
      <c r="B61" s="195">
        <f>IF($AL$5=1,$C61/10,IF($AL$5=2,$C61/10,IF($AL$5=3,1,IF($AL$5=4,$C61/10,))))</f>
        <v>0.8</v>
      </c>
      <c r="C61" s="336">
        <v>8</v>
      </c>
      <c r="D61" s="329">
        <f t="shared" si="361"/>
        <v>19967.90567147687</v>
      </c>
      <c r="E61" s="30">
        <f t="shared" si="362"/>
        <v>1717</v>
      </c>
      <c r="F61" s="330">
        <f t="shared" si="363"/>
        <v>26.202986598368852</v>
      </c>
      <c r="G61" s="329">
        <f t="shared" si="364"/>
        <v>4094.3007616661316</v>
      </c>
      <c r="H61" s="32">
        <f t="shared" si="365"/>
        <v>4094.3007616661316</v>
      </c>
      <c r="I61" s="30">
        <f>IF(Geg_dP&lt;AB61,ROUND(((IF('Briza 22 &amp; 26'!$M$4="High Perform. 208/230V (US/EU)",cal!HK61,H61)/Watts)/((Tr_cool-Tv_cool)*1.163))*FlowH2O,IF(UnitsNo=1,0,IF(UnitsNo=2,2))),"")</f>
        <v>1760</v>
      </c>
      <c r="J61" s="330">
        <f t="shared" si="366"/>
        <v>27.410330159722072</v>
      </c>
      <c r="K61" s="333">
        <f t="shared" si="367"/>
        <v>52</v>
      </c>
      <c r="L61" s="297">
        <f>IF(Geg_dP&lt;$AB61,IF(CalcNo="12",$ET61,IF(CalcNo="22",$ET61,IF(CalcNo="13",$EU61,IF(CalcNo="23",$EU61,IF(CalcNo="11",$ER61,IF(CalcNo="21",$ER61,IF(CalcNo="14",$ES61,IF(CalcNo="24",$ES61,IF(CalcNo="32",$EX61,IF(CalcNo="42",$EX61,IF(CalcNo="33",$EY61,IF(CalcNo="43",$EY61,IF(CalcNo="31",$EV61,IF(CalcNo="41",$EV61,IF(CalcNo="34",$EW61,IF(CalcNo="44",$EW61,)))))))))))))))),"")</f>
        <v>60</v>
      </c>
      <c r="M61" s="198">
        <f t="shared" si="368"/>
        <v>92.99122092657511</v>
      </c>
      <c r="N61" s="197">
        <f t="shared" si="369"/>
        <v>1700.4559300000001</v>
      </c>
      <c r="O61" s="480">
        <f t="shared" si="370"/>
        <v>1.1300212187666137</v>
      </c>
      <c r="P61" s="198">
        <f t="shared" si="371"/>
        <v>54.468542807361551</v>
      </c>
      <c r="Q61" s="297">
        <f t="shared" si="372"/>
        <v>24.439358355662304</v>
      </c>
      <c r="R61" s="509">
        <f t="shared" si="373"/>
        <v>19.843636461799832</v>
      </c>
      <c r="S61" s="36">
        <f t="shared" si="374"/>
        <v>17.089601121923049</v>
      </c>
      <c r="T61" s="300">
        <f t="shared" si="375"/>
        <v>0.76934576594853321</v>
      </c>
      <c r="U61" s="416">
        <f>IF(Geg_dP&lt;$AB61,($CK61*($N61/Cubics)^2)+($CL61*($N61/Cubics)^1)+$CM61,"")</f>
        <v>963.95877402490055</v>
      </c>
      <c r="V61" s="483">
        <f t="shared" si="376"/>
        <v>0.19686978617297679</v>
      </c>
      <c r="W61" s="513">
        <f t="shared" si="377"/>
        <v>2.4077664639424858</v>
      </c>
      <c r="X61" s="56">
        <f t="shared" si="1"/>
        <v>0.98161799999999999</v>
      </c>
      <c r="Y61" s="56">
        <f t="shared" si="166"/>
        <v>1.2733000000000001</v>
      </c>
      <c r="Z61" s="56">
        <f t="shared" si="167"/>
        <v>1.0929199999999999</v>
      </c>
      <c r="AA61" s="56">
        <f t="shared" si="13"/>
        <v>0.98161799999999999</v>
      </c>
      <c r="AB61" s="56">
        <f t="shared" si="14"/>
        <v>77.418499999999995</v>
      </c>
      <c r="AC61" s="95">
        <v>0.98161799999999999</v>
      </c>
      <c r="AD61" s="95">
        <v>1.2733000000000001</v>
      </c>
      <c r="AE61" s="95">
        <v>1.0929199999999999</v>
      </c>
      <c r="AF61" s="96">
        <v>65</v>
      </c>
      <c r="AG61" s="95">
        <v>0.98161799999999999</v>
      </c>
      <c r="AH61" s="95">
        <v>1.2733000000000001</v>
      </c>
      <c r="AI61" s="95">
        <v>1.0929199999999999</v>
      </c>
      <c r="AJ61" s="486">
        <v>115</v>
      </c>
      <c r="AK61" s="487">
        <v>0.98161799999999999</v>
      </c>
      <c r="AL61" s="487">
        <v>1.2733000000000001</v>
      </c>
      <c r="AM61" s="487">
        <v>1.0929199999999999</v>
      </c>
      <c r="AN61" s="486">
        <v>77.418499999999995</v>
      </c>
      <c r="AO61" s="487">
        <v>0.99547421584491202</v>
      </c>
      <c r="AP61" s="487">
        <v>1.174754876804744</v>
      </c>
      <c r="AQ61" s="487">
        <v>1.1067294843129272</v>
      </c>
      <c r="AR61" s="486">
        <v>220.364</v>
      </c>
      <c r="AS61" s="487">
        <v>0.98161799999999999</v>
      </c>
      <c r="AT61" s="487">
        <v>1.2733000000000001</v>
      </c>
      <c r="AU61" s="487">
        <v>1.0929199999999999</v>
      </c>
      <c r="AV61" s="486">
        <f t="shared" si="179"/>
        <v>65</v>
      </c>
      <c r="AW61" s="487">
        <v>0.98161799999999999</v>
      </c>
      <c r="AX61" s="487">
        <v>1.2733000000000001</v>
      </c>
      <c r="AY61" s="487">
        <v>1.0929199999999999</v>
      </c>
      <c r="AZ61" s="486">
        <f t="shared" si="180"/>
        <v>115</v>
      </c>
      <c r="BA61" s="95">
        <v>1.0049716964208173</v>
      </c>
      <c r="BB61" s="95">
        <v>1.2385624038262057</v>
      </c>
      <c r="BC61" s="95">
        <v>1.1162269648888619</v>
      </c>
      <c r="BD61" s="96">
        <f t="shared" si="181"/>
        <v>77.418499999999995</v>
      </c>
      <c r="BE61" s="95">
        <v>0.96936773239038132</v>
      </c>
      <c r="BF61" s="95">
        <v>1.0702467091432031</v>
      </c>
      <c r="BG61" s="95">
        <v>1.0806230008584556</v>
      </c>
      <c r="BH61" s="96">
        <f t="shared" si="182"/>
        <v>220.364</v>
      </c>
      <c r="BJ61" s="182"/>
      <c r="BK61" s="82">
        <f t="shared" ref="BK61:BM62" si="454">IF($BK$17="11",BN61,IF($BK$17="21",BQ61,IF($BK$17="12",BN61,IF($BK$17="22",BQ61,IF($BK$17="13",BN61,IF($BK$17="23",BQ61,IF($BK$17="14",BN61,IF($BK$17="24",BQ61,IF($BK$17="31",BT61,IF($BK$17="41",BW61,IF($BK$17="32",BT61,IF($BK$17="42",BW61,IF($BK$17="33",BT61,IF($BK$17="43",BW61,IF($BK$17="34",BT61,IF($BK$17="44",BW61,))))))))))))))))</f>
        <v>7.5270596300000001</v>
      </c>
      <c r="BL61" s="83">
        <f t="shared" si="454"/>
        <v>5.6116866500000002</v>
      </c>
      <c r="BM61" s="83">
        <f t="shared" si="454"/>
        <v>3.3678199999999999E-5</v>
      </c>
      <c r="BN61" s="103">
        <v>7.5270596300000001</v>
      </c>
      <c r="BO61" s="104">
        <v>5.6116866500000002</v>
      </c>
      <c r="BP61" s="105">
        <v>3.3678199999999999E-5</v>
      </c>
      <c r="BQ61" s="103">
        <v>3.86679211</v>
      </c>
      <c r="BR61" s="104">
        <f>BO61</f>
        <v>5.6116866500000002</v>
      </c>
      <c r="BS61" s="105">
        <f>+BP61</f>
        <v>3.3678199999999999E-5</v>
      </c>
      <c r="BT61" s="103">
        <v>7.1465215300000002</v>
      </c>
      <c r="BU61" s="104">
        <v>5.4161495000000004</v>
      </c>
      <c r="BV61" s="105">
        <v>1.6204339999999999E-5</v>
      </c>
      <c r="BW61" s="103">
        <f>BQ61</f>
        <v>3.86679211</v>
      </c>
      <c r="BX61" s="104">
        <f>BU61</f>
        <v>5.4161495000000004</v>
      </c>
      <c r="BY61" s="105">
        <f>+BV61</f>
        <v>1.6204339999999999E-5</v>
      </c>
      <c r="BZ61" s="131">
        <f t="shared" si="379"/>
        <v>0</v>
      </c>
      <c r="CA61" s="132">
        <f t="shared" si="379"/>
        <v>0</v>
      </c>
      <c r="CB61" s="132">
        <f t="shared" si="380"/>
        <v>-6.7310031699999997E-4</v>
      </c>
      <c r="CC61" s="132">
        <f t="shared" si="381"/>
        <v>2.8787145900000002E-2</v>
      </c>
      <c r="CD61" s="132">
        <f t="shared" si="382"/>
        <v>-17.023551600000001</v>
      </c>
      <c r="CE61" s="133">
        <f t="shared" si="383"/>
        <v>1700.4559300000001</v>
      </c>
      <c r="CF61" s="131">
        <f t="shared" si="384"/>
        <v>0</v>
      </c>
      <c r="CG61" s="132">
        <f t="shared" si="385"/>
        <v>3.8147251800000002E-9</v>
      </c>
      <c r="CH61" s="132">
        <f t="shared" si="386"/>
        <v>-2.1910232300000001E-5</v>
      </c>
      <c r="CI61" s="132">
        <f t="shared" si="387"/>
        <v>6.3273982000000006E-2</v>
      </c>
      <c r="CJ61" s="132">
        <f t="shared" si="388"/>
        <v>29.994315199999999</v>
      </c>
      <c r="CK61" s="131">
        <f t="shared" si="389"/>
        <v>0</v>
      </c>
      <c r="CL61" s="132">
        <f t="shared" si="390"/>
        <v>-0.20500795099999999</v>
      </c>
      <c r="CM61" s="133">
        <f t="shared" si="391"/>
        <v>1312.56576</v>
      </c>
      <c r="CN61" s="350"/>
      <c r="CO61" s="386"/>
      <c r="CP61" s="113">
        <v>9.43885758E-4</v>
      </c>
      <c r="CQ61" s="113">
        <v>-0.11659895300000001</v>
      </c>
      <c r="CR61" s="113">
        <v>-16.9930545</v>
      </c>
      <c r="CS61" s="116">
        <v>1564.96991</v>
      </c>
      <c r="CT61" s="350"/>
      <c r="CU61" s="391"/>
      <c r="CV61" s="387"/>
      <c r="CW61" s="113">
        <v>2.5161504500000001E-2</v>
      </c>
      <c r="CX61" s="116">
        <v>36.734934600000003</v>
      </c>
      <c r="CY61" s="352"/>
      <c r="CZ61" s="113">
        <f xml:space="preserve"> -0.100252812</f>
        <v>-0.100252812</v>
      </c>
      <c r="DA61" s="423">
        <v>1122.4126900000001</v>
      </c>
      <c r="DB61" s="454"/>
      <c r="DC61" s="113">
        <v>7.3044770100000004E-6</v>
      </c>
      <c r="DD61" s="113">
        <v>-1.4926993300000001E-3</v>
      </c>
      <c r="DE61" s="113">
        <v>6.2569429400000001E-2</v>
      </c>
      <c r="DF61" s="113">
        <v>-14.569473500000001</v>
      </c>
      <c r="DG61" s="116">
        <v>1880.78855</v>
      </c>
      <c r="DH61" s="357"/>
      <c r="DI61" s="115">
        <v>-9.2285532500000002E-9</v>
      </c>
      <c r="DJ61" s="113">
        <v>3.1115647300000001E-5</v>
      </c>
      <c r="DK61" s="113">
        <v>9.4225018599999998E-3</v>
      </c>
      <c r="DL61" s="116">
        <v>74.027070899999998</v>
      </c>
      <c r="DM61" s="113">
        <v>4.0047296300000003E-5</v>
      </c>
      <c r="DN61" s="113">
        <v>-0.202406845</v>
      </c>
      <c r="DO61" s="423">
        <v>1666.42698</v>
      </c>
      <c r="DP61" s="429"/>
      <c r="DQ61" s="387"/>
      <c r="DR61" s="113">
        <v>-6.7310031699999997E-4</v>
      </c>
      <c r="DS61" s="113">
        <v>2.8787145900000002E-2</v>
      </c>
      <c r="DT61" s="113">
        <v>-17.023551600000001</v>
      </c>
      <c r="DU61" s="116">
        <v>1700.4559300000001</v>
      </c>
      <c r="DV61" s="378"/>
      <c r="DW61" s="126">
        <v>3.8147251800000002E-9</v>
      </c>
      <c r="DX61" s="120">
        <v>-2.1910232300000001E-5</v>
      </c>
      <c r="DY61" s="120">
        <v>6.3273982000000006E-2</v>
      </c>
      <c r="DZ61" s="114">
        <v>29.994315199999999</v>
      </c>
      <c r="EA61" s="352"/>
      <c r="EB61" s="113">
        <v>-0.20500795099999999</v>
      </c>
      <c r="EC61" s="423">
        <v>1312.56576</v>
      </c>
      <c r="ED61" s="429"/>
      <c r="EE61" s="386"/>
      <c r="EF61" s="113">
        <v>-3.1985399099999999E-4</v>
      </c>
      <c r="EG61" s="113">
        <v>5.3304072199999997E-2</v>
      </c>
      <c r="EH61" s="113">
        <v>-10.972822600000001</v>
      </c>
      <c r="EI61" s="116">
        <v>3022.3342899999998</v>
      </c>
      <c r="EJ61" s="388"/>
      <c r="EK61" s="385"/>
      <c r="EL61" s="113">
        <v>-2.5452301799999999E-5</v>
      </c>
      <c r="EM61" s="113">
        <v>0.16832739199999999</v>
      </c>
      <c r="EN61" s="116">
        <v>71.388406900000007</v>
      </c>
      <c r="EO61" s="378"/>
      <c r="EP61" s="395">
        <v>-0.190251791</v>
      </c>
      <c r="EQ61" s="433">
        <v>2226.5959699999999</v>
      </c>
      <c r="ER61" s="458">
        <v>60</v>
      </c>
      <c r="ES61" s="365"/>
      <c r="ET61" s="137">
        <v>60</v>
      </c>
      <c r="EU61" s="365"/>
      <c r="EV61" s="137">
        <f>EX61</f>
        <v>59.5</v>
      </c>
      <c r="EW61" s="365"/>
      <c r="EX61" s="137">
        <v>59.5</v>
      </c>
      <c r="EY61" s="360"/>
      <c r="EZ61" s="137">
        <f t="shared" si="392"/>
        <v>17.5</v>
      </c>
      <c r="FA61" s="143">
        <f>Tavg_cold</f>
        <v>17</v>
      </c>
      <c r="FB61" s="143">
        <f t="shared" si="393"/>
        <v>17.5</v>
      </c>
      <c r="FC61" s="143">
        <f t="shared" si="394"/>
        <v>17.5</v>
      </c>
      <c r="FD61" s="143">
        <f t="shared" si="395"/>
        <v>17.5</v>
      </c>
      <c r="FE61" s="143">
        <f t="shared" si="447"/>
        <v>18.2</v>
      </c>
      <c r="FF61" s="497">
        <f t="shared" si="396"/>
        <v>17.5</v>
      </c>
      <c r="FG61" s="497">
        <f>FH61*1.05</f>
        <v>18.375</v>
      </c>
      <c r="FH61" s="497">
        <f t="shared" si="397"/>
        <v>17.5</v>
      </c>
      <c r="FJ61" s="344">
        <f t="shared" si="398"/>
        <v>0.5</v>
      </c>
      <c r="FK61" s="241">
        <f t="shared" si="399"/>
        <v>0.98250000000000004</v>
      </c>
      <c r="FL61" s="495">
        <f t="shared" si="400"/>
        <v>1.4700000000000002</v>
      </c>
      <c r="FM61" s="230">
        <f t="shared" si="448"/>
        <v>0.5626299961676311</v>
      </c>
      <c r="FN61" s="226">
        <f>DU61</f>
        <v>1700.4559300000001</v>
      </c>
      <c r="FO61" s="226">
        <f>EI61</f>
        <v>3022.3342899999998</v>
      </c>
      <c r="FP61" s="222">
        <f>FP62</f>
        <v>0.63604257687854915</v>
      </c>
      <c r="FQ61" s="238">
        <f t="shared" si="401"/>
        <v>1700.4559300000001</v>
      </c>
      <c r="FR61" s="241">
        <f t="shared" si="402"/>
        <v>0</v>
      </c>
      <c r="FS61" s="242">
        <f t="shared" si="449"/>
        <v>1100.0009999999997</v>
      </c>
      <c r="FT61" s="248">
        <f t="shared" si="450"/>
        <v>0</v>
      </c>
      <c r="FU61" s="224">
        <f t="shared" si="403"/>
        <v>17.5</v>
      </c>
      <c r="FV61" s="224">
        <f t="shared" si="404"/>
        <v>17.685000000000002</v>
      </c>
      <c r="FW61" s="224">
        <f t="shared" si="405"/>
        <v>0.18500000000000227</v>
      </c>
      <c r="FX61" s="224">
        <f t="shared" si="406"/>
        <v>23.520000000000003</v>
      </c>
      <c r="FY61" s="224">
        <f t="shared" si="407"/>
        <v>6.0200000000000031</v>
      </c>
      <c r="FZ61" s="224">
        <f t="shared" si="408"/>
        <v>17.5</v>
      </c>
      <c r="GA61" s="500">
        <f t="shared" si="409"/>
        <v>17.5</v>
      </c>
      <c r="GC61" s="161">
        <f t="shared" si="410"/>
        <v>15.69066559142683</v>
      </c>
      <c r="GE61" s="259">
        <f t="shared" si="411"/>
        <v>0</v>
      </c>
      <c r="GG61" s="305">
        <f t="shared" si="412"/>
        <v>2334.1781978570243</v>
      </c>
      <c r="GH61" s="305">
        <f t="shared" si="413"/>
        <v>15286.374147450109</v>
      </c>
      <c r="GI61" s="305">
        <f t="shared" si="414"/>
        <v>1167.0890989285122</v>
      </c>
      <c r="GJ61" s="305">
        <f t="shared" si="415"/>
        <v>1167.0890989285119</v>
      </c>
      <c r="GK61" s="305">
        <f t="shared" si="416"/>
        <v>7.2478490515896785E-3</v>
      </c>
      <c r="GL61" s="305">
        <f t="shared" si="15"/>
        <v>7.2478490515896785E-3</v>
      </c>
      <c r="GM61" s="305">
        <f t="shared" si="417"/>
        <v>38.490692183503647</v>
      </c>
      <c r="GN61" s="305">
        <f t="shared" si="418"/>
        <v>73.598746332105549</v>
      </c>
      <c r="GO61" s="306">
        <f t="shared" si="16"/>
        <v>7.6348327449723696E-2</v>
      </c>
      <c r="GQ61" s="305">
        <f t="shared" si="419"/>
        <v>3557.0118570174286</v>
      </c>
      <c r="GR61" s="305">
        <f t="shared" si="420"/>
        <v>2311.7121159638523</v>
      </c>
      <c r="GS61" s="305">
        <f t="shared" si="421"/>
        <v>1778.5059285087143</v>
      </c>
      <c r="GT61" s="305">
        <f t="shared" si="422"/>
        <v>1778.5059285087143</v>
      </c>
      <c r="GU61" s="305">
        <f t="shared" si="423"/>
        <v>1778.5059285087143</v>
      </c>
      <c r="GV61" s="307">
        <f t="shared" si="424"/>
        <v>1.1112703645172665E-2</v>
      </c>
      <c r="GW61" s="307">
        <f t="shared" si="425"/>
        <v>1.1112703645172665E-2</v>
      </c>
      <c r="GX61" s="305">
        <f t="shared" si="426"/>
        <v>1.1112703645172665E-2</v>
      </c>
      <c r="GY61" s="305">
        <f t="shared" si="427"/>
        <v>55.477839519976428</v>
      </c>
      <c r="GZ61" s="305">
        <f t="shared" si="428"/>
        <v>55.477839519976428</v>
      </c>
      <c r="HA61" s="305">
        <f t="shared" si="429"/>
        <v>48.136979520864017</v>
      </c>
      <c r="HB61" s="305">
        <f t="shared" si="17"/>
        <v>19.415087041495514</v>
      </c>
      <c r="HC61" s="305">
        <f t="shared" si="18"/>
        <v>19.415087041495514</v>
      </c>
      <c r="HD61" s="529">
        <f t="shared" si="430"/>
        <v>4094.3007616661316</v>
      </c>
      <c r="HE61" s="57">
        <f t="shared" si="7"/>
        <v>1700.4559300000001</v>
      </c>
      <c r="HF61" s="57">
        <f t="shared" si="431"/>
        <v>4094.3007616661316</v>
      </c>
      <c r="HG61" s="525">
        <f t="shared" si="9"/>
        <v>17.5</v>
      </c>
      <c r="HH61" s="525">
        <f t="shared" si="10"/>
        <v>17.5</v>
      </c>
      <c r="HI61" s="503">
        <f t="shared" si="75"/>
        <v>4094.3007616661316</v>
      </c>
      <c r="HJ61" s="2">
        <f t="shared" si="90"/>
        <v>1</v>
      </c>
      <c r="HK61" s="503">
        <f t="shared" si="76"/>
        <v>4094.3007616661316</v>
      </c>
      <c r="HL61" s="344">
        <f t="shared" si="432"/>
        <v>0.5</v>
      </c>
      <c r="HM61" s="241">
        <f t="shared" si="433"/>
        <v>0.98250000000000004</v>
      </c>
      <c r="HN61" s="495">
        <f t="shared" si="434"/>
        <v>1.4700000000000002</v>
      </c>
      <c r="HO61" s="230">
        <f t="shared" si="451"/>
        <v>0.5626299961676311</v>
      </c>
      <c r="HP61" s="226">
        <f t="shared" si="435"/>
        <v>1700.4559300000001</v>
      </c>
      <c r="HQ61" s="226">
        <f t="shared" si="80"/>
        <v>3022.3342899999998</v>
      </c>
      <c r="HR61" s="222">
        <f>HR62</f>
        <v>0.63604257687854915</v>
      </c>
      <c r="HS61" s="251">
        <f t="shared" si="11"/>
        <v>1700.4559300000001</v>
      </c>
      <c r="HT61" s="241">
        <f t="shared" si="436"/>
        <v>0</v>
      </c>
      <c r="HU61" s="242">
        <f t="shared" si="452"/>
        <v>1100.0009999999997</v>
      </c>
      <c r="HV61" s="248">
        <f t="shared" si="453"/>
        <v>0</v>
      </c>
      <c r="HW61" s="224">
        <f t="shared" si="12"/>
        <v>17.5</v>
      </c>
      <c r="HX61" s="224">
        <f t="shared" si="437"/>
        <v>17.685000000000002</v>
      </c>
      <c r="HY61" s="224">
        <f t="shared" si="438"/>
        <v>0.18500000000000227</v>
      </c>
      <c r="HZ61" s="224">
        <f t="shared" si="439"/>
        <v>23.520000000000003</v>
      </c>
      <c r="IA61" s="224">
        <f t="shared" si="440"/>
        <v>6.0200000000000031</v>
      </c>
      <c r="IB61" s="224">
        <f t="shared" si="441"/>
        <v>17.5</v>
      </c>
      <c r="IC61" s="500">
        <f t="shared" si="442"/>
        <v>17.5</v>
      </c>
      <c r="IE61" s="161">
        <f t="shared" si="443"/>
        <v>15.69066559142683</v>
      </c>
      <c r="IG61" s="259">
        <f t="shared" si="444"/>
        <v>9.6021384951176791E-3</v>
      </c>
      <c r="II61" s="305">
        <f t="shared" si="445"/>
        <v>2334.1781978570243</v>
      </c>
      <c r="IJ61" s="305">
        <f t="shared" si="446"/>
        <v>15286.374147450109</v>
      </c>
    </row>
    <row r="62" spans="1:244" ht="15" customHeight="1" thickBot="1" x14ac:dyDescent="0.3">
      <c r="B62" s="195">
        <v>1</v>
      </c>
      <c r="C62" s="337">
        <v>10</v>
      </c>
      <c r="D62" s="331">
        <f t="shared" si="361"/>
        <v>22199.735301168173</v>
      </c>
      <c r="E62" s="173">
        <f t="shared" si="362"/>
        <v>1909</v>
      </c>
      <c r="F62" s="332">
        <f t="shared" si="363"/>
        <v>31.782538971316821</v>
      </c>
      <c r="G62" s="331">
        <f t="shared" si="364"/>
        <v>4540.4783942541608</v>
      </c>
      <c r="H62" s="342">
        <f t="shared" si="365"/>
        <v>4540.4783942541608</v>
      </c>
      <c r="I62" s="30">
        <f>IF(Geg_dP&lt;AB62,ROUND(((IF('Briza 22 &amp; 26'!$M$4="High Perform. 208/230V (US/EU)",cal!HK62,H62)/Watts)/((Tr_cool-Tv_cool)*1.163))*FlowH2O,IF(UnitsNo=1,0,IF(UnitsNo=2,2))),"")</f>
        <v>1952</v>
      </c>
      <c r="J62" s="332">
        <f t="shared" si="366"/>
        <v>33.098337777647657</v>
      </c>
      <c r="K62" s="334">
        <f t="shared" si="367"/>
        <v>55</v>
      </c>
      <c r="L62" s="298">
        <f>IF(Geg_dP&lt;$AB62,IF(CalcNo="12",$ET62,IF(CalcNo="22",$ET62,IF(CalcNo="13",$EU62,IF(CalcNo="23",$EU62,IF(CalcNo="11",$ER62,IF(CalcNo="21",$ER62,IF(CalcNo="14",$ES62,IF(CalcNo="24",$ES62,IF(CalcNo="32",$EX62,IF(CalcNo="42",$EX62,IF(CalcNo="33",$EY62,IF(CalcNo="43",$EY62,IF(CalcNo="31",$EV62,IF(CalcNo="41",$EV62,IF(CalcNo="34",$EW62,IF(CalcNo="44",$EW62,)))))))))))))))),"")</f>
        <v>63</v>
      </c>
      <c r="M62" s="199">
        <f>IF(Geg_dP&lt;$AB62,($CF62*(($N62*CFMs)^4))+($CG62*(($N62*CFMs)^3))+($CH62*(($N62*CFMs)^2))+($CI62*($N62*CFMs))+$CJ62,"")</f>
        <v>131.53201024753241</v>
      </c>
      <c r="N62" s="335">
        <f t="shared" si="369"/>
        <v>1922.33329</v>
      </c>
      <c r="O62" s="481">
        <f t="shared" si="370"/>
        <v>1.2774676302498671</v>
      </c>
      <c r="P62" s="199">
        <f t="shared" si="371"/>
        <v>53.89806416407508</v>
      </c>
      <c r="Q62" s="298">
        <f t="shared" si="372"/>
        <v>24.291578157865235</v>
      </c>
      <c r="R62" s="510">
        <f t="shared" si="373"/>
        <v>19.979776162870259</v>
      </c>
      <c r="S62" s="36">
        <f t="shared" si="374"/>
        <v>17.135704956637436</v>
      </c>
      <c r="T62" s="301">
        <f t="shared" si="375"/>
        <v>0.76289413732763722</v>
      </c>
      <c r="U62" s="417">
        <f>IF(Geg_dP&lt;$AB62,($CK62*($N62/Cubics)^2)+($CL62*($N62/Cubics)^1)+$CM62,"")</f>
        <v>1100.4639023864406</v>
      </c>
      <c r="V62" s="484">
        <f t="shared" si="376"/>
        <v>0.24632317369435802</v>
      </c>
      <c r="W62" s="513">
        <f t="shared" si="377"/>
        <v>2.3619621102510067</v>
      </c>
      <c r="X62" s="56">
        <f t="shared" si="1"/>
        <v>0.98161799999999999</v>
      </c>
      <c r="Y62" s="56">
        <f t="shared" si="166"/>
        <v>1.2733000000000001</v>
      </c>
      <c r="Z62" s="56">
        <f t="shared" si="167"/>
        <v>1.0929199999999999</v>
      </c>
      <c r="AA62" s="56">
        <f t="shared" si="13"/>
        <v>0.98161799999999999</v>
      </c>
      <c r="AB62" s="56">
        <f t="shared" si="14"/>
        <v>112.751</v>
      </c>
      <c r="AC62" s="95">
        <v>0.98161799999999999</v>
      </c>
      <c r="AD62" s="95">
        <v>1.2733000000000001</v>
      </c>
      <c r="AE62" s="95">
        <v>1.0929199999999999</v>
      </c>
      <c r="AF62" s="96">
        <v>82</v>
      </c>
      <c r="AG62" s="95">
        <v>0.98161799999999999</v>
      </c>
      <c r="AH62" s="95">
        <v>1.2733000000000001</v>
      </c>
      <c r="AI62" s="95">
        <v>1.0929199999999999</v>
      </c>
      <c r="AJ62" s="486">
        <v>145</v>
      </c>
      <c r="AK62" s="487">
        <v>0.98161799999999999</v>
      </c>
      <c r="AL62" s="487">
        <v>1.2733000000000001</v>
      </c>
      <c r="AM62" s="487">
        <v>1.0929199999999999</v>
      </c>
      <c r="AN62" s="486">
        <v>112.751</v>
      </c>
      <c r="AO62" s="487">
        <v>0.99547421584491202</v>
      </c>
      <c r="AP62" s="487">
        <v>1.174754876804744</v>
      </c>
      <c r="AQ62" s="487">
        <v>1.1067294843129272</v>
      </c>
      <c r="AR62" s="486">
        <f>AR61</f>
        <v>220.364</v>
      </c>
      <c r="AS62" s="487">
        <v>0.98161799999999999</v>
      </c>
      <c r="AT62" s="487">
        <v>1.2733000000000001</v>
      </c>
      <c r="AU62" s="487">
        <v>1.0929199999999999</v>
      </c>
      <c r="AV62" s="486">
        <f>AF62</f>
        <v>82</v>
      </c>
      <c r="AW62" s="487">
        <v>0.98161799999999999</v>
      </c>
      <c r="AX62" s="487">
        <v>1.2733000000000001</v>
      </c>
      <c r="AY62" s="487">
        <v>1.0929199999999999</v>
      </c>
      <c r="AZ62" s="486">
        <f>AJ62</f>
        <v>145</v>
      </c>
      <c r="BA62" s="95">
        <v>1.0049716964208173</v>
      </c>
      <c r="BB62" s="95">
        <v>1.2385624038262057</v>
      </c>
      <c r="BC62" s="95">
        <v>1.1162269648888619</v>
      </c>
      <c r="BD62" s="96">
        <f>AN62</f>
        <v>112.751</v>
      </c>
      <c r="BE62" s="95">
        <v>0.96936773239038132</v>
      </c>
      <c r="BF62" s="95">
        <v>1.0702467091432031</v>
      </c>
      <c r="BG62" s="95">
        <v>1.0806230008584556</v>
      </c>
      <c r="BH62" s="96">
        <f>AR62</f>
        <v>220.364</v>
      </c>
      <c r="BJ62" s="182"/>
      <c r="BK62" s="84">
        <f t="shared" si="454"/>
        <v>3.0181830399999998</v>
      </c>
      <c r="BL62" s="85">
        <f t="shared" si="454"/>
        <v>-9.9665992299999999</v>
      </c>
      <c r="BM62" s="85">
        <f t="shared" si="454"/>
        <v>1.82115</v>
      </c>
      <c r="BN62" s="103">
        <v>3.0181830399999998</v>
      </c>
      <c r="BO62" s="104">
        <v>-9.9665992299999999</v>
      </c>
      <c r="BP62" s="106">
        <v>1.82115</v>
      </c>
      <c r="BQ62" s="103">
        <v>620.32879400000002</v>
      </c>
      <c r="BR62" s="104">
        <f>BO62</f>
        <v>-9.9665992299999999</v>
      </c>
      <c r="BS62" s="106">
        <f>+BP62</f>
        <v>1.82115</v>
      </c>
      <c r="BT62" s="103">
        <v>-31.905324400000001</v>
      </c>
      <c r="BU62" s="104">
        <v>15.2900115</v>
      </c>
      <c r="BV62" s="106">
        <v>1.92807237</v>
      </c>
      <c r="BW62" s="103">
        <f>BQ62</f>
        <v>620.32879400000002</v>
      </c>
      <c r="BX62" s="104">
        <f>BU62</f>
        <v>15.2900115</v>
      </c>
      <c r="BY62" s="106">
        <f>+BV62</f>
        <v>1.92807237</v>
      </c>
      <c r="BZ62" s="136">
        <f t="shared" si="379"/>
        <v>0</v>
      </c>
      <c r="CA62" s="134">
        <f t="shared" si="379"/>
        <v>-8.0990786300000007E-6</v>
      </c>
      <c r="CB62" s="134">
        <f t="shared" si="380"/>
        <v>1.3150673700000001E-3</v>
      </c>
      <c r="CC62" s="134">
        <f t="shared" si="381"/>
        <v>-6.8677841200000006E-2</v>
      </c>
      <c r="CD62" s="134">
        <f t="shared" si="382"/>
        <v>-13.717056899999999</v>
      </c>
      <c r="CE62" s="135">
        <f t="shared" si="383"/>
        <v>1922.33329</v>
      </c>
      <c r="CF62" s="136">
        <f t="shared" si="384"/>
        <v>0</v>
      </c>
      <c r="CG62" s="134">
        <f t="shared" si="385"/>
        <v>-3.3294013400000001E-8</v>
      </c>
      <c r="CH62" s="134">
        <f t="shared" si="386"/>
        <v>5.0052443200000003E-5</v>
      </c>
      <c r="CI62" s="134">
        <f t="shared" si="387"/>
        <v>4.7657139199999997E-2</v>
      </c>
      <c r="CJ62" s="134">
        <f t="shared" si="388"/>
        <v>61.759669100000004</v>
      </c>
      <c r="CK62" s="136">
        <f t="shared" si="389"/>
        <v>0</v>
      </c>
      <c r="CL62" s="134">
        <f t="shared" si="390"/>
        <v>-0.227233243</v>
      </c>
      <c r="CM62" s="135">
        <f t="shared" si="391"/>
        <v>1537.2819300000001</v>
      </c>
      <c r="CN62" s="353"/>
      <c r="CO62" s="387"/>
      <c r="CP62" s="117">
        <v>-8.9219023100000001E-4</v>
      </c>
      <c r="CQ62" s="117">
        <v>6.0854618399999998E-2</v>
      </c>
      <c r="CR62" s="117">
        <v>-18.140051499999998</v>
      </c>
      <c r="CS62" s="118">
        <v>1848.58896</v>
      </c>
      <c r="CT62" s="358"/>
      <c r="CU62" s="117">
        <v>-4.4829888999999999E-8</v>
      </c>
      <c r="CV62" s="117">
        <v>7.38742636E-5</v>
      </c>
      <c r="CW62" s="117">
        <v>2.53668607E-2</v>
      </c>
      <c r="CX62" s="118">
        <v>51.250794999999997</v>
      </c>
      <c r="CY62" s="355"/>
      <c r="CZ62" s="117">
        <v>-0.12970698899999999</v>
      </c>
      <c r="DA62" s="425">
        <v>1333.1672799999999</v>
      </c>
      <c r="DB62" s="455"/>
      <c r="DC62" s="117">
        <v>-2.0242751700000002E-6</v>
      </c>
      <c r="DD62" s="117">
        <v>3.9206698300000003E-4</v>
      </c>
      <c r="DE62" s="117">
        <v>-3.7668109800000002E-2</v>
      </c>
      <c r="DF62" s="117">
        <v>-11.184991699999999</v>
      </c>
      <c r="DG62" s="118">
        <v>2175.95255</v>
      </c>
      <c r="DH62" s="358"/>
      <c r="DI62" s="119">
        <v>-1.7656470900000001E-9</v>
      </c>
      <c r="DJ62" s="117">
        <v>-6.7862000399999996E-6</v>
      </c>
      <c r="DK62" s="117">
        <v>0.103372571</v>
      </c>
      <c r="DL62" s="169">
        <v>86.449531800000003</v>
      </c>
      <c r="DM62" s="117">
        <v>1.01981148E-7</v>
      </c>
      <c r="DN62" s="117">
        <v>-0.118299299</v>
      </c>
      <c r="DO62" s="425">
        <v>1839.51008</v>
      </c>
      <c r="DP62" s="424"/>
      <c r="DQ62" s="117">
        <v>-8.0990786300000007E-6</v>
      </c>
      <c r="DR62" s="117">
        <v>1.3150673700000001E-3</v>
      </c>
      <c r="DS62" s="117">
        <v>-6.8677841200000006E-2</v>
      </c>
      <c r="DT62" s="117">
        <v>-13.717056899999999</v>
      </c>
      <c r="DU62" s="118">
        <v>1922.33329</v>
      </c>
      <c r="DV62" s="377"/>
      <c r="DW62" s="127">
        <v>-3.3294013400000001E-8</v>
      </c>
      <c r="DX62" s="123">
        <v>5.0052443200000003E-5</v>
      </c>
      <c r="DY62" s="123">
        <v>4.7657139199999997E-2</v>
      </c>
      <c r="DZ62" s="124">
        <v>61.759669100000004</v>
      </c>
      <c r="EA62" s="355"/>
      <c r="EB62" s="117">
        <v>-0.227233243</v>
      </c>
      <c r="EC62" s="425">
        <v>1537.2819300000001</v>
      </c>
      <c r="ED62" s="436">
        <f t="shared" ref="ED62:EI62" si="455">ED61</f>
        <v>0</v>
      </c>
      <c r="EE62" s="437">
        <f t="shared" si="455"/>
        <v>0</v>
      </c>
      <c r="EF62" s="438">
        <f t="shared" si="455"/>
        <v>-3.1985399099999999E-4</v>
      </c>
      <c r="EG62" s="438">
        <f t="shared" si="455"/>
        <v>5.3304072199999997E-2</v>
      </c>
      <c r="EH62" s="438">
        <f t="shared" si="455"/>
        <v>-10.972822600000001</v>
      </c>
      <c r="EI62" s="439">
        <f t="shared" si="455"/>
        <v>3022.3342899999998</v>
      </c>
      <c r="EJ62" s="440">
        <f t="shared" ref="EJ62:EQ62" si="456">EJ61</f>
        <v>0</v>
      </c>
      <c r="EK62" s="437">
        <f t="shared" si="456"/>
        <v>0</v>
      </c>
      <c r="EL62" s="438">
        <f t="shared" si="456"/>
        <v>-2.5452301799999999E-5</v>
      </c>
      <c r="EM62" s="438">
        <f t="shared" si="456"/>
        <v>0.16832739199999999</v>
      </c>
      <c r="EN62" s="439">
        <f t="shared" si="456"/>
        <v>71.388406900000007</v>
      </c>
      <c r="EO62" s="379">
        <f t="shared" si="456"/>
        <v>0</v>
      </c>
      <c r="EP62" s="396">
        <f t="shared" si="456"/>
        <v>-0.190251791</v>
      </c>
      <c r="EQ62" s="431">
        <f t="shared" si="456"/>
        <v>2226.5959699999999</v>
      </c>
      <c r="ER62" s="460">
        <v>63</v>
      </c>
      <c r="ES62" s="368"/>
      <c r="ET62" s="138">
        <v>63</v>
      </c>
      <c r="EU62" s="368"/>
      <c r="EV62" s="138">
        <f>EX62</f>
        <v>62.5</v>
      </c>
      <c r="EW62" s="368"/>
      <c r="EX62" s="138">
        <v>62.5</v>
      </c>
      <c r="EY62" s="361"/>
      <c r="EZ62" s="138">
        <f t="shared" si="392"/>
        <v>17.5</v>
      </c>
      <c r="FA62" s="144">
        <f>Tavg_cold</f>
        <v>17</v>
      </c>
      <c r="FB62" s="144">
        <f t="shared" si="393"/>
        <v>17.5</v>
      </c>
      <c r="FC62" s="144">
        <f t="shared" si="394"/>
        <v>17.5</v>
      </c>
      <c r="FD62" s="144">
        <f t="shared" si="395"/>
        <v>17.5</v>
      </c>
      <c r="FE62" s="144">
        <f t="shared" si="447"/>
        <v>18.2</v>
      </c>
      <c r="FF62" s="499">
        <f>IF($GC62&lt;=$FU62,$FU62,IF($FM62&lt;=$FP62,Tavg_cold,$GA62))</f>
        <v>17.5</v>
      </c>
      <c r="FG62" s="499">
        <f>FH62*1.05</f>
        <v>18.375</v>
      </c>
      <c r="FH62" s="499">
        <f t="shared" si="397"/>
        <v>17.5</v>
      </c>
      <c r="FJ62" s="345">
        <f t="shared" si="398"/>
        <v>0.5</v>
      </c>
      <c r="FK62" s="243">
        <f t="shared" si="399"/>
        <v>0.98250000000000004</v>
      </c>
      <c r="FL62" s="496">
        <f t="shared" si="400"/>
        <v>1.4700000000000002</v>
      </c>
      <c r="FM62" s="231">
        <f t="shared" si="448"/>
        <v>0.63604257687854915</v>
      </c>
      <c r="FN62" s="227">
        <f>DU62</f>
        <v>1922.33329</v>
      </c>
      <c r="FO62" s="227">
        <f>EI62</f>
        <v>3022.3342899999998</v>
      </c>
      <c r="FP62" s="223">
        <f>FN62/FO62</f>
        <v>0.63604257687854915</v>
      </c>
      <c r="FQ62" s="225">
        <f t="shared" si="401"/>
        <v>1922.33329</v>
      </c>
      <c r="FR62" s="243">
        <f t="shared" si="402"/>
        <v>0</v>
      </c>
      <c r="FS62" s="244">
        <f t="shared" si="449"/>
        <v>1100.0009999999997</v>
      </c>
      <c r="FT62" s="249">
        <f t="shared" si="450"/>
        <v>0</v>
      </c>
      <c r="FU62" s="225">
        <f t="shared" si="403"/>
        <v>17.5</v>
      </c>
      <c r="FV62" s="225">
        <f t="shared" si="404"/>
        <v>17.685000000000002</v>
      </c>
      <c r="FW62" s="225">
        <f t="shared" si="405"/>
        <v>0.18500000000000227</v>
      </c>
      <c r="FX62" s="225">
        <f t="shared" si="406"/>
        <v>23.520000000000003</v>
      </c>
      <c r="FY62" s="225">
        <f t="shared" si="407"/>
        <v>6.0200000000000031</v>
      </c>
      <c r="FZ62" s="225">
        <f t="shared" si="408"/>
        <v>17.5</v>
      </c>
      <c r="GA62" s="501">
        <f t="shared" si="409"/>
        <v>17.5</v>
      </c>
      <c r="GC62" s="64">
        <f t="shared" si="410"/>
        <v>15.69066559142683</v>
      </c>
      <c r="GE62" s="260">
        <f t="shared" si="411"/>
        <v>0</v>
      </c>
      <c r="GG62" s="308">
        <f t="shared" si="412"/>
        <v>2334.1781978570243</v>
      </c>
      <c r="GH62" s="308">
        <f t="shared" si="413"/>
        <v>14871.905162169252</v>
      </c>
      <c r="GI62" s="308">
        <f t="shared" si="414"/>
        <v>1167.0890989285122</v>
      </c>
      <c r="GJ62" s="308">
        <f t="shared" si="415"/>
        <v>1167.0890989285119</v>
      </c>
      <c r="GK62" s="308">
        <f t="shared" si="416"/>
        <v>7.2478490515896785E-3</v>
      </c>
      <c r="GL62" s="308">
        <f t="shared" si="15"/>
        <v>7.2478490515896785E-3</v>
      </c>
      <c r="GM62" s="308">
        <f t="shared" si="417"/>
        <v>38.490692183503647</v>
      </c>
      <c r="GN62" s="308">
        <f t="shared" si="418"/>
        <v>73.017683326017433</v>
      </c>
      <c r="GO62" s="309">
        <f t="shared" si="16"/>
        <v>7.8476098805237232E-2</v>
      </c>
      <c r="GQ62" s="308">
        <f t="shared" si="419"/>
        <v>3557.0118570174286</v>
      </c>
      <c r="GR62" s="308">
        <f t="shared" si="420"/>
        <v>2331.2617589888573</v>
      </c>
      <c r="GS62" s="308">
        <f t="shared" si="421"/>
        <v>1778.5059285087143</v>
      </c>
      <c r="GT62" s="308">
        <f t="shared" si="422"/>
        <v>1778.5059285087143</v>
      </c>
      <c r="GU62" s="308">
        <f t="shared" si="423"/>
        <v>1778.5059285087143</v>
      </c>
      <c r="GV62" s="310">
        <f t="shared" si="424"/>
        <v>1.1112703645172665E-2</v>
      </c>
      <c r="GW62" s="310">
        <f t="shared" si="425"/>
        <v>1.1112703645172665E-2</v>
      </c>
      <c r="GX62" s="308">
        <f t="shared" si="426"/>
        <v>1.1112703645172665E-2</v>
      </c>
      <c r="GY62" s="308">
        <f t="shared" si="427"/>
        <v>55.477839519976428</v>
      </c>
      <c r="GZ62" s="308">
        <f t="shared" si="428"/>
        <v>55.477839519976428</v>
      </c>
      <c r="HA62" s="308">
        <f t="shared" si="429"/>
        <v>48.276629006324669</v>
      </c>
      <c r="HB62" s="308">
        <f t="shared" si="17"/>
        <v>19.415087041495514</v>
      </c>
      <c r="HC62" s="308">
        <f t="shared" si="18"/>
        <v>19.415087041495514</v>
      </c>
      <c r="HD62" s="529">
        <f t="shared" si="430"/>
        <v>4540.4783942541608</v>
      </c>
      <c r="HE62" s="57">
        <f t="shared" si="7"/>
        <v>1922.33329</v>
      </c>
      <c r="HF62" s="57">
        <f t="shared" si="431"/>
        <v>4540.4783942541608</v>
      </c>
      <c r="HG62" s="525">
        <f t="shared" si="9"/>
        <v>17.5</v>
      </c>
      <c r="HH62" s="525">
        <f t="shared" si="10"/>
        <v>17.5</v>
      </c>
      <c r="HI62" s="503">
        <f t="shared" si="75"/>
        <v>4540.4783942541608</v>
      </c>
      <c r="HJ62" s="2">
        <f t="shared" si="90"/>
        <v>1</v>
      </c>
      <c r="HK62" s="503">
        <f t="shared" si="76"/>
        <v>4540.4783942541608</v>
      </c>
      <c r="HL62" s="344">
        <f t="shared" si="432"/>
        <v>0.5</v>
      </c>
      <c r="HM62" s="243">
        <f t="shared" si="433"/>
        <v>0.98250000000000004</v>
      </c>
      <c r="HN62" s="496">
        <f t="shared" si="434"/>
        <v>1.4700000000000002</v>
      </c>
      <c r="HO62" s="231">
        <f t="shared" si="451"/>
        <v>0.63604257687854915</v>
      </c>
      <c r="HP62" s="226">
        <f t="shared" si="435"/>
        <v>1922.33329</v>
      </c>
      <c r="HQ62" s="226">
        <f t="shared" si="80"/>
        <v>3022.3342899999998</v>
      </c>
      <c r="HR62" s="223">
        <f>HP62/HQ62</f>
        <v>0.63604257687854915</v>
      </c>
      <c r="HS62" s="251">
        <f t="shared" si="11"/>
        <v>1922.33329</v>
      </c>
      <c r="HT62" s="243">
        <f t="shared" si="436"/>
        <v>0</v>
      </c>
      <c r="HU62" s="244">
        <f t="shared" si="452"/>
        <v>1100.0009999999997</v>
      </c>
      <c r="HV62" s="249">
        <f t="shared" si="453"/>
        <v>0</v>
      </c>
      <c r="HW62" s="224">
        <f t="shared" si="12"/>
        <v>17.5</v>
      </c>
      <c r="HX62" s="225">
        <f t="shared" si="437"/>
        <v>17.685000000000002</v>
      </c>
      <c r="HY62" s="225">
        <f t="shared" si="438"/>
        <v>0.18500000000000227</v>
      </c>
      <c r="HZ62" s="225">
        <f t="shared" si="439"/>
        <v>23.520000000000003</v>
      </c>
      <c r="IA62" s="225">
        <f t="shared" si="440"/>
        <v>6.0200000000000031</v>
      </c>
      <c r="IB62" s="225">
        <f t="shared" si="441"/>
        <v>17.5</v>
      </c>
      <c r="IC62" s="501">
        <f t="shared" si="442"/>
        <v>17.5</v>
      </c>
      <c r="IE62" s="64">
        <f t="shared" si="443"/>
        <v>15.69066559142683</v>
      </c>
      <c r="IG62" s="260">
        <f t="shared" si="444"/>
        <v>9.6021384951176791E-3</v>
      </c>
      <c r="II62" s="308">
        <f t="shared" si="445"/>
        <v>2334.1781978570243</v>
      </c>
      <c r="IJ62" s="308">
        <f t="shared" si="446"/>
        <v>14871.905162169252</v>
      </c>
    </row>
    <row r="63" spans="1:244" ht="9.4" customHeight="1" x14ac:dyDescent="0.25">
      <c r="B63" s="40" t="str">
        <f>IF(LangNo=1,NL!A63,IF(LangNo=2,EN!A63,IF(LangNo=3,DE!A63,IF(LangNo=4,FR!A63,IF(LangNo=5,NR!A63,IF(LangNo=6,SP!A63,IF(LangNo=7,SW!A63,IF(LangNo=8,TS!A63,IF(LangNo=9,ExtraTaal1!A63,IF(LangNo=10,ExtraTaal2!A63,IF(LangNo=11,ExtraTaal3!A63,)))))))))))</f>
        <v>*Values according to EN 1397 equipped with a G2 filter.</v>
      </c>
      <c r="H63" s="256"/>
      <c r="O63" s="42"/>
      <c r="P63" s="42"/>
      <c r="Q63" s="42"/>
      <c r="R63" s="42"/>
      <c r="S63" s="42"/>
      <c r="U63" s="2" t="s">
        <v>514</v>
      </c>
      <c r="W63" s="316"/>
      <c r="AA63" s="317"/>
      <c r="BJ63" s="182">
        <f>IF($BK$17="11",BO63,IF($BK$17="21",BR63,IF($BK$17="12",BO63,IF($BK$17="22",BR63,IF($BK$17="13",BO63,IF($BK$17="23",BR63,IF($BK$17="14",BO63,IF($BK$17="24",BR63,IF($BK$17="31",BU63,IF($BK$17="41",BX63,IF($BK$17="32",BU63,IF($BK$17="42",BX63,IF($BK$17="33",BU63,IF($BK$17="43",BX63,IF($BK$17="34",BU63,IF($BK$17="44",BX63,))))))))))))))))</f>
        <v>22</v>
      </c>
      <c r="BK63" s="255">
        <f>(BN63+IF(CaseNo=1,0,IF(CaseNo=2,$BN$2,)))*MilInch</f>
        <v>54.5</v>
      </c>
      <c r="BL63" s="255">
        <f>(BJ63+IF(CaseNo=1,0,IF(CaseNo=2,$BN$3,)))*MilInch</f>
        <v>22</v>
      </c>
      <c r="BM63" s="255">
        <f>(BP63+IF(CaseNo=1,0,IF(CaseNo=2,$BN$4,)))*MilInch</f>
        <v>190</v>
      </c>
      <c r="BN63" s="255">
        <v>54.5</v>
      </c>
      <c r="BO63" s="255">
        <v>22</v>
      </c>
      <c r="BP63" s="255">
        <v>190</v>
      </c>
      <c r="BQ63" s="255">
        <v>54.5</v>
      </c>
      <c r="BR63" s="255">
        <v>22</v>
      </c>
      <c r="BS63" s="255">
        <v>190</v>
      </c>
      <c r="BT63" s="255">
        <v>54.5</v>
      </c>
      <c r="BU63" s="255">
        <v>26</v>
      </c>
      <c r="BV63" s="255">
        <v>190</v>
      </c>
      <c r="BW63" s="255">
        <v>54.5</v>
      </c>
      <c r="BX63" s="255">
        <v>26</v>
      </c>
      <c r="BY63" s="255">
        <v>190</v>
      </c>
      <c r="BZ63" s="603"/>
      <c r="CA63" s="604"/>
      <c r="CB63" s="604"/>
      <c r="CC63" s="604"/>
      <c r="CD63" s="604"/>
      <c r="CE63" s="604"/>
      <c r="CF63" s="604"/>
      <c r="CG63" s="604"/>
      <c r="CH63" s="604"/>
      <c r="CI63" s="604"/>
      <c r="CJ63" s="604"/>
      <c r="CK63" s="28"/>
      <c r="CL63" s="28"/>
      <c r="CM63" s="28"/>
      <c r="CN63" s="28"/>
      <c r="CO63" s="88"/>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ER63" s="62"/>
      <c r="ES63" s="62"/>
      <c r="EZ63" s="57"/>
      <c r="FA63" s="62"/>
      <c r="FB63" s="62"/>
      <c r="FH63" s="57"/>
      <c r="GA63" s="182"/>
      <c r="GM63" s="292"/>
      <c r="GN63" s="292"/>
      <c r="GZ63" s="292"/>
      <c r="HA63" s="292"/>
      <c r="HB63" s="292"/>
      <c r="HC63" s="292"/>
    </row>
    <row r="64" spans="1:244" ht="9.4" customHeight="1" x14ac:dyDescent="0.25">
      <c r="B64" s="40" t="str">
        <f>IF(LangNo=1,NL!A64,IF(LangNo=2,EN!A64,IF(LangNo=3,DE!A64,IF(LangNo=4,FR!A64,IF(LangNo=5,NR!A64,IF(LangNo=6,SP!A64,IF(LangNo=7,SW!A64,IF(LangNo=8,TS!A64,IF(LangNo=9,ExtraTaal1!A64,IF(LangNo=10,ExtraTaal2!A64,IF(LangNo=11,ExtraTaal3!A64,)))))))))))</f>
        <v>**Sound power according to ISO 3741:2010</v>
      </c>
      <c r="W64" s="316"/>
      <c r="BJ64" s="182"/>
    </row>
    <row r="65" spans="2:167" ht="9" customHeight="1" x14ac:dyDescent="0.25">
      <c r="B65" s="40" t="str">
        <f>IF(LangNo=1,NL!A65,IF(LangNo=2,EN!A65,IF(LangNo=3,DE!A65,IF(LangNo=4,FR!A65,IF(LangNo=5,NR!A65,IF(LangNo=6,SP!A65,IF(LangNo=7,SW!A65,IF(LangNo=8,TS!A65,IF(LangNo=9,ExtraTaal1!A65,IF(LangNo=10,ExtraTaal2!A65,IF(LangNo=11,ExtraTaal3!A65,)))))))))))</f>
        <v>***Sound pressure with an assumed room damping of 8dB(A)</v>
      </c>
      <c r="W65" s="316"/>
      <c r="BJ65" s="182"/>
    </row>
    <row r="66" spans="2:167" ht="9" customHeight="1" x14ac:dyDescent="0.25">
      <c r="B66" s="40" t="str">
        <f>IF(LangNo=1,NL!A66,IF(LangNo=2,EN!A66,IF(LangNo=3,DE!A66,IF(LangNo=4,FR!A66,IF(LangNo=5,NR!A66,IF(LangNo=6,SP!A66,IF(LangNo=7,SW!A66,IF(LangNo=8,TS!A66,IF(LangNo=9,ExtraTaal1!A66,IF(LangNo=10,ExtraTaal2!A66,IF(LangNo=11,ExtraTaal3!A66,)))))))))))</f>
        <v>****Calculated RH directly after the heat exchanger, assumed with a location-independent surface temperature.</v>
      </c>
      <c r="W66" s="316"/>
    </row>
    <row r="67" spans="2:167" x14ac:dyDescent="0.25"/>
    <row r="68" spans="2:167" ht="23.25" x14ac:dyDescent="0.35">
      <c r="B68" s="2" t="str">
        <f>IF(LangNo=1,NL!U22,IF(LangNo=2,EN!U22,IF(LangNo=3,DE!U22,IF(LangNo=4,FR!U22,IF(LangNo=5,NR!U22,IF(LangNo=6,SP!U22,IF(LangNo=7,SW!U22,IF(LangNo=8,TS!U22,IF(LangNo=9,ExtraTaal1!U22,IF(LangNo=10,ExtraTaal2!U22,IF(LangNo=11,ExtraTaal3!U22,)))))))))))</f>
        <v>Briza has multiple airflow supply and return air connection options. Visit our website for more information.</v>
      </c>
      <c r="G68" s="86"/>
      <c r="O68" s="507"/>
      <c r="P68" s="2">
        <f>1/(1+((2258*((0.622/((101325/(1*611*EXP(17.27*(EZ21/(EZ21+237.3))))))-1)*1000-(0.622/((101325/(RH*611*EXP(17.27*(Tl_cool/(Tl_cool+237.3))))))-1)*1000))/(1005*(Tavg_cold-Tl_cool))))</f>
        <v>1.4282136185823657</v>
      </c>
      <c r="Q68" s="505"/>
    </row>
    <row r="69" spans="2:167" ht="23.25" x14ac:dyDescent="0.35">
      <c r="P69" s="2">
        <f>((2258*((0.622/((101325/(1*611*EXP(17.27*(EZ21/(EZ21+237.3))))))-1)*1000-(0.622/((101325/(RH*611*EXP(17.27*(Tl_cool/(Tl_cool+237.3))))))-1)*1000))/(1005*(Tavg_cold-Tl_cool)))</f>
        <v>-0.29982462918075758</v>
      </c>
      <c r="Q69" s="505"/>
      <c r="FK69" s="448"/>
    </row>
    <row r="70" spans="2:167" ht="23.25" x14ac:dyDescent="0.35">
      <c r="B70" s="503"/>
      <c r="C70" s="503"/>
      <c r="E70" s="503"/>
      <c r="F70" s="503"/>
      <c r="O70" s="507"/>
      <c r="P70" s="2">
        <f>(2258*((0.622/((101325/(1*611*EXP(17.27*(EZ21/(EZ21+237.3))))))-1)*1000-(0.622/((101325/(RH*611*EXP(17.27*(Tl_cool/(Tl_cool+237.3))))))-1)*1000))</f>
        <v>3013.2375232666136</v>
      </c>
      <c r="Q70" s="505"/>
    </row>
    <row r="71" spans="2:167" ht="23.25" x14ac:dyDescent="0.35">
      <c r="B71" s="503"/>
      <c r="C71" s="503"/>
      <c r="E71" s="503"/>
      <c r="F71" s="503"/>
      <c r="P71" s="2">
        <f>(1005*(Tavg_cold-Tl_cool))</f>
        <v>-10050</v>
      </c>
      <c r="Q71" s="505"/>
    </row>
    <row r="72" spans="2:167" ht="15" customHeight="1" x14ac:dyDescent="0.25">
      <c r="B72" s="503"/>
      <c r="C72" s="503">
        <v>0</v>
      </c>
      <c r="D72" s="2">
        <v>0</v>
      </c>
      <c r="E72" s="503">
        <f t="shared" ref="E72" si="457">D72*1</f>
        <v>0</v>
      </c>
      <c r="F72" s="503"/>
    </row>
    <row r="73" spans="2:167" ht="15" customHeight="1" x14ac:dyDescent="0.25">
      <c r="B73" s="503"/>
      <c r="C73" s="503">
        <v>133.768339</v>
      </c>
      <c r="D73" s="503">
        <v>552.99961588216161</v>
      </c>
      <c r="E73" s="503">
        <f t="shared" ref="E73:E82" si="458">D73*1</f>
        <v>552.99961588216161</v>
      </c>
      <c r="F73" s="503"/>
    </row>
    <row r="74" spans="2:167" ht="15" customHeight="1" x14ac:dyDescent="0.25">
      <c r="B74" s="503"/>
      <c r="C74" s="504">
        <v>142.571774</v>
      </c>
      <c r="D74" s="504">
        <v>571.05431192893093</v>
      </c>
      <c r="E74" s="503">
        <f t="shared" si="458"/>
        <v>571.05431192893093</v>
      </c>
      <c r="F74" s="503"/>
    </row>
    <row r="75" spans="2:167" ht="15" customHeight="1" x14ac:dyDescent="0.25">
      <c r="B75" s="503"/>
      <c r="C75" s="503">
        <v>254.18655100000001</v>
      </c>
      <c r="D75" s="503">
        <v>760.70033902096202</v>
      </c>
      <c r="E75" s="503">
        <f t="shared" si="458"/>
        <v>760.70033902096202</v>
      </c>
      <c r="F75" s="503"/>
    </row>
    <row r="76" spans="2:167" ht="15" customHeight="1" x14ac:dyDescent="0.25">
      <c r="B76" s="503"/>
      <c r="C76" s="503">
        <v>312.66762299999999</v>
      </c>
      <c r="D76" s="503">
        <v>851.22096653568678</v>
      </c>
      <c r="E76" s="503">
        <f t="shared" si="458"/>
        <v>851.22096653568678</v>
      </c>
      <c r="F76" s="503"/>
    </row>
    <row r="77" spans="2:167" ht="15" customHeight="1" x14ac:dyDescent="0.25">
      <c r="C77" s="503">
        <v>354.98676399999999</v>
      </c>
      <c r="D77" s="503">
        <v>921.67555531004382</v>
      </c>
      <c r="E77" s="503">
        <f t="shared" si="458"/>
        <v>921.67555531004382</v>
      </c>
      <c r="F77" s="503"/>
    </row>
    <row r="78" spans="2:167" ht="15" customHeight="1" x14ac:dyDescent="0.25">
      <c r="C78" s="503">
        <v>450.174779</v>
      </c>
      <c r="D78" s="503">
        <v>1031.2758442379063</v>
      </c>
      <c r="E78" s="503">
        <f t="shared" si="458"/>
        <v>1031.2758442379063</v>
      </c>
      <c r="F78" s="503"/>
    </row>
    <row r="79" spans="2:167" ht="15" customHeight="1" x14ac:dyDescent="0.25">
      <c r="B79" s="502"/>
      <c r="C79" s="503">
        <v>464.177143</v>
      </c>
      <c r="D79" s="503">
        <v>1058.5612859439459</v>
      </c>
      <c r="E79" s="503">
        <f t="shared" si="458"/>
        <v>1058.5612859439459</v>
      </c>
    </row>
    <row r="80" spans="2:167" ht="15" customHeight="1" x14ac:dyDescent="0.25">
      <c r="C80" s="503">
        <v>500.13429500000001</v>
      </c>
      <c r="D80" s="503">
        <v>1102.6648933306531</v>
      </c>
      <c r="E80" s="503">
        <f t="shared" si="458"/>
        <v>1102.6648933306531</v>
      </c>
    </row>
    <row r="81" spans="2:5" ht="15" customHeight="1" x14ac:dyDescent="0.25">
      <c r="B81" s="503"/>
      <c r="C81" s="503">
        <v>587.30399899999998</v>
      </c>
      <c r="D81" s="503">
        <v>1136.8084357787336</v>
      </c>
      <c r="E81" s="503">
        <f t="shared" si="458"/>
        <v>1136.8084357787336</v>
      </c>
    </row>
    <row r="82" spans="2:5" ht="15" customHeight="1" x14ac:dyDescent="0.25">
      <c r="B82" s="503"/>
      <c r="C82" s="503">
        <v>677.34145100000001</v>
      </c>
      <c r="D82" s="503">
        <v>997.08451083668092</v>
      </c>
      <c r="E82" s="503">
        <f t="shared" si="458"/>
        <v>997.08451083668092</v>
      </c>
    </row>
    <row r="83" spans="2:5" ht="15" customHeight="1" x14ac:dyDescent="0.25">
      <c r="B83" s="503"/>
    </row>
    <row r="84" spans="2:5" ht="15" customHeight="1" x14ac:dyDescent="0.25">
      <c r="B84" s="503"/>
      <c r="D84" s="503"/>
    </row>
    <row r="85" spans="2:5" ht="15" customHeight="1" x14ac:dyDescent="0.25">
      <c r="B85" s="503"/>
      <c r="C85" s="503">
        <v>133.768339</v>
      </c>
      <c r="D85" s="503">
        <v>552.99961588216161</v>
      </c>
    </row>
    <row r="86" spans="2:5" ht="15" customHeight="1" x14ac:dyDescent="0.25">
      <c r="C86" s="503">
        <v>254.18655100000001</v>
      </c>
      <c r="D86" s="503">
        <v>760.70033902096202</v>
      </c>
    </row>
    <row r="87" spans="2:5" ht="15" customHeight="1" x14ac:dyDescent="0.25">
      <c r="C87" s="503">
        <v>354.98676399999999</v>
      </c>
      <c r="D87" s="503">
        <v>921.67555531004382</v>
      </c>
    </row>
    <row r="88" spans="2:5" ht="15" customHeight="1" x14ac:dyDescent="0.25">
      <c r="C88" s="503">
        <v>450.174779</v>
      </c>
      <c r="D88" s="503">
        <v>1031.2758442379063</v>
      </c>
    </row>
    <row r="89" spans="2:5" ht="15" customHeight="1" x14ac:dyDescent="0.25">
      <c r="C89" s="503">
        <v>500.13429500000001</v>
      </c>
      <c r="D89" s="503">
        <v>1102.6648933306531</v>
      </c>
    </row>
  </sheetData>
  <sheetProtection selectLockedCells="1"/>
  <dataConsolidate link="1"/>
  <mergeCells count="167">
    <mergeCell ref="HI16:HI17"/>
    <mergeCell ref="HJ16:HJ17"/>
    <mergeCell ref="HK16:HK17"/>
    <mergeCell ref="HL17:IC17"/>
    <mergeCell ref="HL23:IC23"/>
    <mergeCell ref="HL31:IC31"/>
    <mergeCell ref="HL39:IC39"/>
    <mergeCell ref="HL47:IC47"/>
    <mergeCell ref="HL55:IC55"/>
    <mergeCell ref="HD16:HD17"/>
    <mergeCell ref="HD18:HD23"/>
    <mergeCell ref="FA23:FD23"/>
    <mergeCell ref="FA31:FD31"/>
    <mergeCell ref="ED55:EQ55"/>
    <mergeCell ref="FA39:FD39"/>
    <mergeCell ref="FA47:FD47"/>
    <mergeCell ref="FG47:FH47"/>
    <mergeCell ref="FG55:FH55"/>
    <mergeCell ref="FG23:FH23"/>
    <mergeCell ref="FE13:FH14"/>
    <mergeCell ref="FA17:FD17"/>
    <mergeCell ref="FG17:FH17"/>
    <mergeCell ref="BT17:BV17"/>
    <mergeCell ref="FA13:FD14"/>
    <mergeCell ref="ER17:EZ17"/>
    <mergeCell ref="BW17:BY17"/>
    <mergeCell ref="DP16:DU16"/>
    <mergeCell ref="EV13:EY14"/>
    <mergeCell ref="EJ16:EN16"/>
    <mergeCell ref="DV16:DZ16"/>
    <mergeCell ref="CT16:CX16"/>
    <mergeCell ref="BT15:BY15"/>
    <mergeCell ref="CY16:DA16"/>
    <mergeCell ref="ER13:EU14"/>
    <mergeCell ref="ED16:EI16"/>
    <mergeCell ref="CN15:DA15"/>
    <mergeCell ref="DP15:EC15"/>
    <mergeCell ref="CN16:CS16"/>
    <mergeCell ref="BZ16:CE16"/>
    <mergeCell ref="BZ15:CM15"/>
    <mergeCell ref="DH16:DL16"/>
    <mergeCell ref="DM16:DO16"/>
    <mergeCell ref="ED15:EQ15"/>
    <mergeCell ref="G5:J5"/>
    <mergeCell ref="AS15:AV15"/>
    <mergeCell ref="M8:N8"/>
    <mergeCell ref="M9:N9"/>
    <mergeCell ref="BK17:BM17"/>
    <mergeCell ref="BN17:BP17"/>
    <mergeCell ref="AC15:AF15"/>
    <mergeCell ref="M11:N11"/>
    <mergeCell ref="M12:N12"/>
    <mergeCell ref="AK15:AN15"/>
    <mergeCell ref="BA15:BD15"/>
    <mergeCell ref="R8:S11"/>
    <mergeCell ref="R7:S7"/>
    <mergeCell ref="P7:Q7"/>
    <mergeCell ref="AO15:AR15"/>
    <mergeCell ref="BE15:BH15"/>
    <mergeCell ref="G12:J12"/>
    <mergeCell ref="BN15:BS15"/>
    <mergeCell ref="P8:Q11"/>
    <mergeCell ref="G13:J13"/>
    <mergeCell ref="X15:AB15"/>
    <mergeCell ref="BK15:BM15"/>
    <mergeCell ref="AC14:AR14"/>
    <mergeCell ref="AS14:BH14"/>
    <mergeCell ref="DB39:DO39"/>
    <mergeCell ref="BQ17:BS17"/>
    <mergeCell ref="CF16:CJ16"/>
    <mergeCell ref="G6:J6"/>
    <mergeCell ref="G10:J10"/>
    <mergeCell ref="G11:J11"/>
    <mergeCell ref="ER55:EZ55"/>
    <mergeCell ref="ER23:EZ23"/>
    <mergeCell ref="ER31:EZ31"/>
    <mergeCell ref="ER47:EZ47"/>
    <mergeCell ref="ER39:EZ39"/>
    <mergeCell ref="ED23:EQ23"/>
    <mergeCell ref="ED31:EQ31"/>
    <mergeCell ref="CK16:CM16"/>
    <mergeCell ref="ED39:EQ39"/>
    <mergeCell ref="ED47:EQ47"/>
    <mergeCell ref="DP47:EC47"/>
    <mergeCell ref="DP39:EC39"/>
    <mergeCell ref="CK55:CM55"/>
    <mergeCell ref="CK47:CM47"/>
    <mergeCell ref="CK39:CM39"/>
    <mergeCell ref="CK31:CM31"/>
    <mergeCell ref="DB47:DO47"/>
    <mergeCell ref="DB55:DO55"/>
    <mergeCell ref="DB16:DG16"/>
    <mergeCell ref="B10:D10"/>
    <mergeCell ref="B11:D11"/>
    <mergeCell ref="B12:D12"/>
    <mergeCell ref="B13:D13"/>
    <mergeCell ref="B17:M17"/>
    <mergeCell ref="B23:M23"/>
    <mergeCell ref="DB23:DO23"/>
    <mergeCell ref="DB31:DO31"/>
    <mergeCell ref="DB15:DO15"/>
    <mergeCell ref="AG15:AJ15"/>
    <mergeCell ref="AW15:AZ15"/>
    <mergeCell ref="N23:V23"/>
    <mergeCell ref="N17:V17"/>
    <mergeCell ref="FG39:FH39"/>
    <mergeCell ref="FA55:FD55"/>
    <mergeCell ref="GG16:GG17"/>
    <mergeCell ref="FI16:FI17"/>
    <mergeCell ref="FG31:FH31"/>
    <mergeCell ref="BZ63:CE63"/>
    <mergeCell ref="CF63:CJ63"/>
    <mergeCell ref="BZ39:CE39"/>
    <mergeCell ref="CF39:CJ39"/>
    <mergeCell ref="BZ47:CE47"/>
    <mergeCell ref="CF47:CJ47"/>
    <mergeCell ref="BZ55:CE55"/>
    <mergeCell ref="CF55:CJ55"/>
    <mergeCell ref="BZ23:CE23"/>
    <mergeCell ref="CF23:CJ23"/>
    <mergeCell ref="BZ31:CE31"/>
    <mergeCell ref="CF31:CJ31"/>
    <mergeCell ref="CK23:CM23"/>
    <mergeCell ref="CN23:DA23"/>
    <mergeCell ref="CN31:DA31"/>
    <mergeCell ref="CN39:DA39"/>
    <mergeCell ref="CN47:DA47"/>
    <mergeCell ref="CN55:DA55"/>
    <mergeCell ref="DP55:EC55"/>
    <mergeCell ref="GT16:GT17"/>
    <mergeCell ref="GW16:GW17"/>
    <mergeCell ref="GI16:GI17"/>
    <mergeCell ref="GQ16:GQ17"/>
    <mergeCell ref="DP23:EC23"/>
    <mergeCell ref="GK16:GK17"/>
    <mergeCell ref="GS16:GS17"/>
    <mergeCell ref="GV16:GV17"/>
    <mergeCell ref="GN16:GN17"/>
    <mergeCell ref="GH16:GH17"/>
    <mergeCell ref="GP16:GP17"/>
    <mergeCell ref="GF16:GF17"/>
    <mergeCell ref="GD16:GD17"/>
    <mergeCell ref="GB16:GB17"/>
    <mergeCell ref="B31:V31"/>
    <mergeCell ref="B39:V39"/>
    <mergeCell ref="B47:V47"/>
    <mergeCell ref="B55:V55"/>
    <mergeCell ref="HE16:HE17"/>
    <mergeCell ref="HF16:HF17"/>
    <mergeCell ref="X9:X11"/>
    <mergeCell ref="DP31:EC31"/>
    <mergeCell ref="EA16:EC16"/>
    <mergeCell ref="GC16:GC17"/>
    <mergeCell ref="GE16:GE17"/>
    <mergeCell ref="GY16:GY17"/>
    <mergeCell ref="HC16:HC17"/>
    <mergeCell ref="HB16:HB17"/>
    <mergeCell ref="HA16:HA17"/>
    <mergeCell ref="GX16:GX17"/>
    <mergeCell ref="GU16:GU17"/>
    <mergeCell ref="GZ16:GZ17"/>
    <mergeCell ref="EO16:EQ16"/>
    <mergeCell ref="GL16:GL17"/>
    <mergeCell ref="GJ16:GJ17"/>
    <mergeCell ref="GM16:GM17"/>
    <mergeCell ref="GO16:GO17"/>
    <mergeCell ref="GR16:GR17"/>
  </mergeCells>
  <dataValidations count="3">
    <dataValidation type="whole" errorStyle="information" allowBlank="1" prompt="Eingabe zwischen 5°C bis 20°C" sqref="K10:K12" xr:uid="{00000000-0002-0000-0100-000000000000}">
      <formula1>5</formula1>
      <formula2>20</formula2>
    </dataValidation>
    <dataValidation type="decimal" errorStyle="information" allowBlank="1" prompt="20°C bis 35°C" sqref="K14" xr:uid="{00000000-0002-0000-0100-000001000000}">
      <formula1>0.3</formula1>
      <formula2>0.8</formula2>
    </dataValidation>
    <dataValidation allowBlank="1" showInputMessage="1" sqref="F14 E10:E13" xr:uid="{00000000-0002-0000-0100-000002000000}"/>
  </dataValidations>
  <pageMargins left="0.5" right="0.47222222222222221" top="1.0555555555555556" bottom="0.81944444444444442" header="0.43055555555555558" footer="0.40277777777777779"/>
  <pageSetup paperSize="9" orientation="portrait" r:id="rId1"/>
  <headerFooter>
    <oddFooter xml:space="preserve">&amp;C&amp;8
</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NL"/>
  <dimension ref="A1:W66"/>
  <sheetViews>
    <sheetView topLeftCell="A7" workbookViewId="0">
      <selection activeCell="K2" sqref="K2:M2"/>
    </sheetView>
  </sheetViews>
  <sheetFormatPr defaultColWidth="11.42578125" defaultRowHeight="15" x14ac:dyDescent="0.25"/>
  <cols>
    <col min="1" max="1" width="7" style="2" customWidth="1"/>
    <col min="2" max="2" width="6.140625" style="2" customWidth="1"/>
    <col min="3" max="3" width="7" style="2" customWidth="1"/>
    <col min="4" max="4" width="6.7109375" style="2" customWidth="1"/>
    <col min="5" max="19" width="7" style="2" customWidth="1"/>
    <col min="20" max="16384" width="11.42578125" style="2"/>
  </cols>
  <sheetData>
    <row r="1" spans="1:23" x14ac:dyDescent="0.25">
      <c r="A1" s="1"/>
    </row>
    <row r="2" spans="1:23" x14ac:dyDescent="0.25">
      <c r="A2" s="3" t="s">
        <v>158</v>
      </c>
      <c r="B2" s="4"/>
    </row>
    <row r="3" spans="1:23" x14ac:dyDescent="0.25">
      <c r="A3" s="1"/>
      <c r="G3" s="684" t="s">
        <v>171</v>
      </c>
      <c r="H3" s="622">
        <v>0</v>
      </c>
      <c r="I3" s="622">
        <v>0</v>
      </c>
      <c r="J3" s="623">
        <v>0</v>
      </c>
    </row>
    <row r="4" spans="1:23" x14ac:dyDescent="0.25">
      <c r="A4" s="5" t="s">
        <v>14</v>
      </c>
      <c r="G4" s="684" t="s">
        <v>111</v>
      </c>
      <c r="H4" s="622">
        <v>0</v>
      </c>
      <c r="I4" s="622">
        <v>0</v>
      </c>
      <c r="J4" s="623">
        <v>0</v>
      </c>
    </row>
    <row r="5" spans="1:23" ht="6" customHeight="1" thickBot="1" x14ac:dyDescent="0.3">
      <c r="A5" s="6"/>
      <c r="B5" s="7"/>
      <c r="C5" s="7"/>
      <c r="D5" s="7"/>
      <c r="E5" s="7"/>
      <c r="F5" s="7"/>
      <c r="G5" s="7"/>
      <c r="H5" s="7"/>
      <c r="I5" s="7"/>
      <c r="J5" s="7"/>
      <c r="K5" s="7"/>
      <c r="L5" s="7"/>
      <c r="M5" s="7"/>
      <c r="N5" s="7"/>
      <c r="O5" s="7"/>
      <c r="P5" s="7"/>
      <c r="Q5" s="8"/>
      <c r="R5" s="10"/>
      <c r="S5" s="10"/>
    </row>
    <row r="6" spans="1:23" ht="15.75" thickBot="1" x14ac:dyDescent="0.3">
      <c r="A6" s="9" t="s">
        <v>2</v>
      </c>
      <c r="B6" s="10"/>
      <c r="C6" s="10"/>
      <c r="D6" s="10"/>
      <c r="E6" s="10"/>
      <c r="F6" s="10"/>
      <c r="G6" s="10"/>
      <c r="H6" s="10"/>
      <c r="I6" s="10"/>
      <c r="J6" s="10"/>
      <c r="K6" s="10"/>
      <c r="L6" s="686" t="s">
        <v>187</v>
      </c>
      <c r="M6" s="687"/>
      <c r="N6" s="274"/>
      <c r="O6" s="10"/>
      <c r="P6" s="10"/>
      <c r="Q6" s="11"/>
      <c r="R6" s="10"/>
      <c r="S6" s="10"/>
    </row>
    <row r="7" spans="1:23" ht="15.75" thickBot="1" x14ac:dyDescent="0.3">
      <c r="A7" s="9" t="s">
        <v>10</v>
      </c>
      <c r="B7" s="10"/>
      <c r="C7" s="10"/>
      <c r="D7" s="10"/>
      <c r="E7" s="10"/>
      <c r="F7" s="12" t="s">
        <v>11</v>
      </c>
      <c r="G7" s="12"/>
      <c r="H7" s="12"/>
      <c r="I7" s="10"/>
      <c r="J7" s="10"/>
      <c r="K7" s="10"/>
      <c r="L7" s="636"/>
      <c r="M7" s="637"/>
      <c r="N7" s="275"/>
      <c r="O7" s="10"/>
      <c r="P7" s="10"/>
      <c r="Q7" s="552" t="s">
        <v>195</v>
      </c>
      <c r="R7" s="553"/>
      <c r="S7" s="552" t="s">
        <v>307</v>
      </c>
      <c r="T7" s="553"/>
    </row>
    <row r="8" spans="1:23" ht="15.75" customHeight="1" thickBot="1" x14ac:dyDescent="0.3">
      <c r="A8" s="685" t="str">
        <f>"Water aanvoer"</f>
        <v>Water aanvoer</v>
      </c>
      <c r="B8" s="613"/>
      <c r="C8" s="614"/>
      <c r="D8" s="13">
        <f>cal!E10</f>
        <v>65</v>
      </c>
      <c r="E8" s="52" t="str">
        <f>IF(cal!$Z$5=1,"°C",IF(cal!$Z$5=2,"°F"))</f>
        <v>°C</v>
      </c>
      <c r="F8" s="613" t="str">
        <f>A8</f>
        <v>Water aanvoer</v>
      </c>
      <c r="G8" s="613"/>
      <c r="H8" s="613"/>
      <c r="I8" s="614"/>
      <c r="J8" s="13">
        <f>cal!K10</f>
        <v>16</v>
      </c>
      <c r="K8" s="10" t="str">
        <f>E8</f>
        <v>°C</v>
      </c>
      <c r="L8" s="10"/>
      <c r="M8" s="10"/>
      <c r="N8" s="10"/>
      <c r="O8" s="10"/>
      <c r="P8" s="10"/>
      <c r="Q8" s="643"/>
      <c r="R8" s="644"/>
      <c r="S8" s="10"/>
    </row>
    <row r="9" spans="1:23" ht="15.75" customHeight="1" thickBot="1" x14ac:dyDescent="0.3">
      <c r="A9" s="685" t="str">
        <f>"Water retour"</f>
        <v>Water retour</v>
      </c>
      <c r="B9" s="613"/>
      <c r="C9" s="614"/>
      <c r="D9" s="13">
        <f>cal!E11</f>
        <v>55</v>
      </c>
      <c r="E9" s="52" t="str">
        <f>E8</f>
        <v>°C</v>
      </c>
      <c r="F9" s="613" t="str">
        <f>A9</f>
        <v>Water retour</v>
      </c>
      <c r="G9" s="613"/>
      <c r="H9" s="613"/>
      <c r="I9" s="614"/>
      <c r="J9" s="13">
        <f>cal!K11</f>
        <v>18</v>
      </c>
      <c r="K9" s="10" t="str">
        <f>E8</f>
        <v>°C</v>
      </c>
      <c r="L9" s="686" t="s">
        <v>186</v>
      </c>
      <c r="M9" s="687"/>
      <c r="N9" s="274"/>
      <c r="O9" s="10"/>
      <c r="P9" s="10"/>
      <c r="Q9" s="645"/>
      <c r="R9" s="646"/>
      <c r="S9" s="10"/>
    </row>
    <row r="10" spans="1:23" ht="15.75" customHeight="1" thickBot="1" x14ac:dyDescent="0.3">
      <c r="A10" s="685" t="str">
        <f>"Ruimte (droge bol)"</f>
        <v>Ruimte (droge bol)</v>
      </c>
      <c r="B10" s="613"/>
      <c r="C10" s="614"/>
      <c r="D10" s="13">
        <f>cal!E12</f>
        <v>20</v>
      </c>
      <c r="E10" s="52" t="str">
        <f>E8</f>
        <v>°C</v>
      </c>
      <c r="F10" s="613" t="str">
        <f>A10</f>
        <v>Ruimte (droge bol)</v>
      </c>
      <c r="G10" s="613"/>
      <c r="H10" s="613"/>
      <c r="I10" s="614"/>
      <c r="J10" s="13">
        <f>cal!K12</f>
        <v>27</v>
      </c>
      <c r="K10" s="10" t="str">
        <f>E8</f>
        <v>°C</v>
      </c>
      <c r="L10" s="641"/>
      <c r="M10" s="642"/>
      <c r="N10" s="276"/>
      <c r="O10" s="10"/>
      <c r="P10" s="10"/>
      <c r="Q10" s="645"/>
      <c r="R10" s="646"/>
      <c r="S10" s="10"/>
      <c r="U10" s="2" t="s">
        <v>321</v>
      </c>
    </row>
    <row r="11" spans="1:23" ht="15.75" customHeight="1" x14ac:dyDescent="0.25">
      <c r="A11" s="14" t="s">
        <v>180</v>
      </c>
      <c r="B11" s="10"/>
      <c r="C11" s="10"/>
      <c r="D11" s="10"/>
      <c r="E11" s="10"/>
      <c r="F11" s="10" t="s">
        <v>140</v>
      </c>
      <c r="G11" s="10"/>
      <c r="H11" s="10"/>
      <c r="I11" s="10"/>
      <c r="J11" s="15">
        <f>cal!K14</f>
        <v>0.5</v>
      </c>
      <c r="K11" s="10"/>
      <c r="L11" s="10"/>
      <c r="M11" s="10"/>
      <c r="N11" s="10"/>
      <c r="O11" s="10"/>
      <c r="P11" s="10"/>
      <c r="Q11" s="11"/>
      <c r="R11" s="10"/>
      <c r="S11" s="10"/>
      <c r="U11" s="2" t="s">
        <v>322</v>
      </c>
    </row>
    <row r="12" spans="1:23" ht="6" customHeight="1" x14ac:dyDescent="0.25">
      <c r="A12" s="16"/>
      <c r="B12" s="17"/>
      <c r="C12" s="17"/>
      <c r="D12" s="17"/>
      <c r="E12" s="18"/>
      <c r="F12" s="18"/>
      <c r="G12" s="18"/>
      <c r="H12" s="18"/>
      <c r="I12" s="18"/>
      <c r="J12" s="18"/>
      <c r="K12" s="18"/>
      <c r="L12" s="18"/>
      <c r="M12" s="18"/>
      <c r="N12" s="18"/>
      <c r="O12" s="18"/>
      <c r="P12" s="18"/>
      <c r="Q12" s="19"/>
      <c r="R12" s="10"/>
      <c r="S12" s="10"/>
    </row>
    <row r="13" spans="1:23" x14ac:dyDescent="0.25">
      <c r="A13" s="20"/>
      <c r="B13" s="20"/>
      <c r="C13" s="20"/>
      <c r="D13" s="20"/>
      <c r="E13" s="20"/>
      <c r="F13" s="20"/>
      <c r="G13" s="20"/>
      <c r="H13" s="20"/>
      <c r="I13" s="20"/>
      <c r="J13" s="20"/>
      <c r="K13" s="20"/>
      <c r="L13" s="20"/>
      <c r="M13" s="20"/>
    </row>
    <row r="14" spans="1:23" s="28" customFormat="1" ht="95.45" customHeight="1" x14ac:dyDescent="0.25">
      <c r="A14" s="21" t="s">
        <v>371</v>
      </c>
      <c r="B14" s="22" t="s">
        <v>370</v>
      </c>
      <c r="C14" s="21" t="str">
        <f>CONCATENATE("Warmteafgifte * ",ROUND(D8,0),"/",ROUND(D9,0),"/",ROUND(D10,0)," ["&amp;IF(cal!$Z$5=1,"W",IF(cal!$Z$5=2,"Btu/h"))&amp;"]")</f>
        <v>Warmteafgifte * 65/55/20 [W]</v>
      </c>
      <c r="D14" s="23" t="str">
        <f>"Waterdebiet, verwarming ["&amp;IF(cal!$Z$5=1,"l/h",IF(cal!$Z$5=2,"GPM"))&amp;"]"</f>
        <v>Waterdebiet, verwarming [l/h]</v>
      </c>
      <c r="E14" s="24" t="str">
        <f>"Waterzijdig drukverlies ["&amp;IF(cal!$Z$5=1,"kPa",IF(cal!$Z$5=2,"ftH2O"))&amp;"]"</f>
        <v>Waterzijdig drukverlies [kPa]</v>
      </c>
      <c r="F14" s="22" t="str">
        <f>CONCATENATE("Voelb. Koelcapaciteit * ",ROUND(J8,0),"/",,ROUND(J9,0),"/",,ROUND(J10,0)," ["&amp;IF(cal!$Z$5=1,"W",IF(cal!$Z$5=2,"Btu/h"))&amp;"]")</f>
        <v>Voelb. Koelcapaciteit * 16/18/27 [W]</v>
      </c>
      <c r="G14" s="22" t="str">
        <f>CONCATENATE("Tot. koelcapaciteit ",,ROUND(J8,0),"/",,ROUND(J9,0),"/",,ROUND(J10,0)," ["&amp;IF(cal!$Z$5=1,"W",IF(cal!$Z$5=2,"Btu/h"))&amp;"]")</f>
        <v>Tot. koelcapaciteit 16/18/27 [W]</v>
      </c>
      <c r="H14" s="22" t="str">
        <f>"Waterdebiet, koeling ["&amp;IF(cal!$Z$5=1,"l/h",IF(cal!$Z$5=2,"GPM"))&amp;"]"</f>
        <v>Waterdebiet, koeling [l/h]</v>
      </c>
      <c r="I14" s="25" t="str">
        <f>E14</f>
        <v>Waterzijdig drukverlies [kPa]</v>
      </c>
      <c r="J14" s="21" t="s">
        <v>12</v>
      </c>
      <c r="K14" s="26" t="s">
        <v>35</v>
      </c>
      <c r="L14" s="22" t="s">
        <v>13</v>
      </c>
      <c r="M14" s="27" t="str">
        <f>"Luchtdebiet ["&amp;IF(cal!$Z$5=1,"m³/h",IF(cal!$Z$5=2,"CFM"))&amp;"]"</f>
        <v>Luchtdebiet [m³/h]</v>
      </c>
      <c r="N14" s="27" t="str">
        <f>"Luchtsnelheid ["&amp;IF(cal!$Z$5=1,"m/s",IF(cal!$Z$5=2,"ft/min"))&amp;"]"</f>
        <v>Luchtsnelheid [m/s]</v>
      </c>
      <c r="O14" s="209" t="str">
        <f>"Uitblaastemp. verwarming ["&amp;IF(cal!$Z$5=1,"°C",IF(cal!$Z$5=2,"°F"))&amp;"]"</f>
        <v>Uitblaastemp. verwarming [°C]</v>
      </c>
      <c r="P14" s="209" t="str">
        <f>"Uitblaastemp. verwarming         (natte bol) ["&amp;IF(cal!$Z$5=1,"°C",IF(cal!$Z$5=2,"°F"))&amp;"]"</f>
        <v>Uitblaastemp. verwarming         (natte bol) [°C]</v>
      </c>
      <c r="Q14" s="210" t="str">
        <f>"Uitblaastemp. koeling (droge bol) ["&amp;IF(cal!$Z$5=1,"°C",IF(cal!$Z$5=2,"°F"))&amp;"]"</f>
        <v>Uitblaastemp. koeling (droge bol) [°C]</v>
      </c>
      <c r="R14" s="210" t="str">
        <f>"Uitblaastemp. koeling (natte bol) ["&amp;IF(cal!$Z$5=1,"°C",IF(cal!$Z$5=2,"°F"))&amp;"]"</f>
        <v>Uitblaastemp. koeling (natte bol) [°C]</v>
      </c>
      <c r="S14" s="210" t="s">
        <v>132</v>
      </c>
      <c r="T14" s="210" t="s">
        <v>297</v>
      </c>
      <c r="U14" s="28" t="s">
        <v>358</v>
      </c>
    </row>
    <row r="15" spans="1:23" ht="18" customHeight="1" x14ac:dyDescent="0.25">
      <c r="A15" s="688" t="str">
        <f>cal!$AK$7&amp;" "&amp;$V$16&amp;" "&amp;ROUND(cal!BK23,1)&amp;IF(cal!$Z$5=1," cm, ",IF(cal!$Z$5=2," in, "))&amp;$V$17&amp;" "&amp;ROUND(cal!BL23,1)&amp;IF(cal!$Z$5=1," cm, ",IF(cal!$Z$5=2," in, "))&amp;$V$18&amp;" "&amp;ROUND(cal!BM23,1)&amp;IF(cal!$Z$5=1," cm ",IF(cal!$Z$5=2," in "))&amp;$S15</f>
        <v>Briza 22 (230V) hoogte 54,5 cm, breedte 22 cm, lengte 55 cm (Type 02)</v>
      </c>
      <c r="B15" s="689"/>
      <c r="C15" s="689"/>
      <c r="D15" s="689"/>
      <c r="E15" s="689"/>
      <c r="F15" s="689"/>
      <c r="G15" s="689"/>
      <c r="H15" s="689"/>
      <c r="I15" s="689"/>
      <c r="J15" s="689"/>
      <c r="K15" s="689"/>
      <c r="L15" s="689"/>
      <c r="M15" s="690" t="str">
        <f>$U$27</f>
        <v>Bestelcode:</v>
      </c>
      <c r="N15" s="690"/>
      <c r="O15" s="690"/>
      <c r="P15" s="690"/>
      <c r="Q15" s="691"/>
      <c r="R15" s="207"/>
      <c r="S15" s="207" t="s">
        <v>226</v>
      </c>
    </row>
    <row r="16" spans="1:23" x14ac:dyDescent="0.25">
      <c r="A16" s="29"/>
      <c r="B16" s="30"/>
      <c r="C16" s="31"/>
      <c r="D16" s="32"/>
      <c r="E16" s="33"/>
      <c r="F16" s="32"/>
      <c r="G16" s="32"/>
      <c r="H16" s="32"/>
      <c r="I16" s="34"/>
      <c r="J16" s="31"/>
      <c r="K16" s="35"/>
      <c r="L16" s="36"/>
      <c r="M16" s="37"/>
      <c r="N16" s="172"/>
      <c r="Q16" s="38"/>
      <c r="U16" s="53" t="s">
        <v>74</v>
      </c>
      <c r="V16" s="2" t="s">
        <v>232</v>
      </c>
      <c r="W16" s="517" t="s">
        <v>416</v>
      </c>
    </row>
    <row r="17" spans="1:23" x14ac:dyDescent="0.25">
      <c r="A17" s="29"/>
      <c r="B17" s="30"/>
      <c r="C17" s="31"/>
      <c r="D17" s="32"/>
      <c r="E17" s="33"/>
      <c r="F17" s="32"/>
      <c r="G17" s="32"/>
      <c r="H17" s="32"/>
      <c r="I17" s="34"/>
      <c r="J17" s="31"/>
      <c r="K17" s="35"/>
      <c r="L17" s="36"/>
      <c r="M17" s="37"/>
      <c r="N17" s="172"/>
      <c r="Q17" s="38"/>
      <c r="U17" s="2" t="s">
        <v>165</v>
      </c>
      <c r="V17" s="2" t="s">
        <v>233</v>
      </c>
      <c r="W17" s="517" t="s">
        <v>417</v>
      </c>
    </row>
    <row r="18" spans="1:23" x14ac:dyDescent="0.25">
      <c r="A18" s="29"/>
      <c r="B18" s="30"/>
      <c r="C18" s="31"/>
      <c r="D18" s="32"/>
      <c r="E18" s="33"/>
      <c r="F18" s="32"/>
      <c r="G18" s="32"/>
      <c r="H18" s="32"/>
      <c r="I18" s="34"/>
      <c r="J18" s="31"/>
      <c r="K18" s="35"/>
      <c r="L18" s="36"/>
      <c r="M18" s="37"/>
      <c r="N18" s="172"/>
      <c r="Q18" s="38"/>
      <c r="U18" s="2" t="s">
        <v>169</v>
      </c>
      <c r="V18" s="2" t="s">
        <v>234</v>
      </c>
      <c r="W18" s="517" t="s">
        <v>418</v>
      </c>
    </row>
    <row r="19" spans="1:23" x14ac:dyDescent="0.25">
      <c r="A19" s="29"/>
      <c r="B19" s="30"/>
      <c r="C19" s="31"/>
      <c r="D19" s="32"/>
      <c r="E19" s="33"/>
      <c r="F19" s="32"/>
      <c r="G19" s="32"/>
      <c r="H19" s="32"/>
      <c r="I19" s="34"/>
      <c r="J19" s="31"/>
      <c r="K19" s="35"/>
      <c r="L19" s="36"/>
      <c r="M19" s="37"/>
      <c r="N19" s="172"/>
      <c r="Q19" s="38"/>
      <c r="U19" s="2" t="s">
        <v>168</v>
      </c>
      <c r="W19" s="2" t="s">
        <v>478</v>
      </c>
    </row>
    <row r="20" spans="1:23" x14ac:dyDescent="0.25">
      <c r="A20" s="29"/>
      <c r="B20" s="30"/>
      <c r="C20" s="31"/>
      <c r="D20" s="32"/>
      <c r="E20" s="33"/>
      <c r="F20" s="32"/>
      <c r="G20" s="32"/>
      <c r="H20" s="32"/>
      <c r="I20" s="34"/>
      <c r="J20" s="31"/>
      <c r="K20" s="35"/>
      <c r="L20" s="36"/>
      <c r="M20" s="37"/>
      <c r="N20" s="172"/>
      <c r="Q20" s="38"/>
      <c r="W20" s="2" t="s">
        <v>479</v>
      </c>
    </row>
    <row r="21" spans="1:23" x14ac:dyDescent="0.25">
      <c r="A21" s="29"/>
      <c r="B21" s="30"/>
      <c r="C21" s="31"/>
      <c r="D21" s="32"/>
      <c r="E21" s="33"/>
      <c r="F21" s="32"/>
      <c r="G21" s="32"/>
      <c r="H21" s="32"/>
      <c r="I21" s="34"/>
      <c r="J21" s="31"/>
      <c r="K21" s="35"/>
      <c r="L21" s="36"/>
      <c r="M21" s="37"/>
      <c r="N21" s="172"/>
      <c r="Q21" s="38"/>
      <c r="W21" s="2" t="s">
        <v>480</v>
      </c>
    </row>
    <row r="22" spans="1:23" x14ac:dyDescent="0.25">
      <c r="A22" s="43"/>
      <c r="B22" s="44"/>
      <c r="C22" s="45"/>
      <c r="D22" s="46"/>
      <c r="E22" s="47"/>
      <c r="F22" s="46"/>
      <c r="G22" s="46"/>
      <c r="H22" s="46"/>
      <c r="I22" s="48"/>
      <c r="J22" s="45"/>
      <c r="K22" s="49"/>
      <c r="L22" s="50"/>
      <c r="M22" s="51"/>
      <c r="N22" s="277"/>
      <c r="O22" s="20"/>
      <c r="P22" s="20"/>
      <c r="Q22" s="39"/>
      <c r="U22" s="2" t="s">
        <v>334</v>
      </c>
      <c r="W22" s="2" t="s">
        <v>481</v>
      </c>
    </row>
    <row r="23" spans="1:23" ht="16.899999999999999" customHeight="1" x14ac:dyDescent="0.25">
      <c r="A23" s="688" t="str">
        <f>cal!$AK$7&amp;" "&amp;$V$16&amp;" "&amp;ROUND(cal!BK31,1)&amp;IF(cal!$Z$5=1," cm, ",IF(cal!$Z$5=2," in, "))&amp;$V$17&amp;" "&amp;ROUND(cal!BL31,1)&amp;IF(cal!$Z$5=1," cm, ",IF(cal!$Z$5=2," in, "))&amp;$V$18&amp;" "&amp;ROUND(cal!BM31,1)&amp;IF(cal!$Z$5=1," cm ",IF(cal!$Z$5=2," in "))&amp;$S23</f>
        <v>Briza 22 (230V) hoogte 54,5 cm, breedte 22 cm, lengte 75 cm (Type 03)</v>
      </c>
      <c r="B23" s="689"/>
      <c r="C23" s="689"/>
      <c r="D23" s="689"/>
      <c r="E23" s="689"/>
      <c r="F23" s="689"/>
      <c r="G23" s="689"/>
      <c r="H23" s="689"/>
      <c r="I23" s="689"/>
      <c r="J23" s="689"/>
      <c r="K23" s="689"/>
      <c r="L23" s="689"/>
      <c r="M23" s="690" t="str">
        <f>$U$27</f>
        <v>Bestelcode:</v>
      </c>
      <c r="N23" s="690"/>
      <c r="O23" s="690"/>
      <c r="P23" s="690"/>
      <c r="Q23" s="691"/>
      <c r="R23" s="207"/>
      <c r="S23" s="207" t="s">
        <v>227</v>
      </c>
      <c r="W23" s="2" t="s">
        <v>482</v>
      </c>
    </row>
    <row r="24" spans="1:23" x14ac:dyDescent="0.25">
      <c r="A24" s="29"/>
      <c r="B24" s="30"/>
      <c r="C24" s="31"/>
      <c r="D24" s="32"/>
      <c r="E24" s="33"/>
      <c r="F24" s="32"/>
      <c r="G24" s="32"/>
      <c r="H24" s="32"/>
      <c r="I24" s="34"/>
      <c r="J24" s="31"/>
      <c r="K24" s="35"/>
      <c r="L24" s="36"/>
      <c r="M24" s="37"/>
      <c r="N24" s="172"/>
      <c r="Q24" s="38"/>
      <c r="U24" s="2" t="s">
        <v>342</v>
      </c>
    </row>
    <row r="25" spans="1:23" x14ac:dyDescent="0.25">
      <c r="A25" s="29"/>
      <c r="B25" s="30"/>
      <c r="C25" s="31"/>
      <c r="D25" s="32"/>
      <c r="E25" s="33"/>
      <c r="F25" s="32"/>
      <c r="G25" s="32"/>
      <c r="H25" s="32"/>
      <c r="I25" s="34"/>
      <c r="J25" s="31"/>
      <c r="K25" s="35"/>
      <c r="L25" s="36"/>
      <c r="M25" s="37"/>
      <c r="N25" s="172"/>
      <c r="Q25" s="38"/>
      <c r="U25" s="2" t="s">
        <v>343</v>
      </c>
    </row>
    <row r="26" spans="1:23" x14ac:dyDescent="0.25">
      <c r="A26" s="29"/>
      <c r="B26" s="30"/>
      <c r="C26" s="31"/>
      <c r="D26" s="32"/>
      <c r="E26" s="33"/>
      <c r="F26" s="32"/>
      <c r="G26" s="32"/>
      <c r="H26" s="32"/>
      <c r="I26" s="34"/>
      <c r="J26" s="31"/>
      <c r="K26" s="35"/>
      <c r="L26" s="36"/>
      <c r="M26" s="37"/>
      <c r="N26" s="172"/>
      <c r="Q26" s="38"/>
    </row>
    <row r="27" spans="1:23" x14ac:dyDescent="0.25">
      <c r="A27" s="29"/>
      <c r="B27" s="30"/>
      <c r="C27" s="31"/>
      <c r="D27" s="32"/>
      <c r="E27" s="33"/>
      <c r="F27" s="32"/>
      <c r="G27" s="32"/>
      <c r="H27" s="32"/>
      <c r="I27" s="34"/>
      <c r="J27" s="31"/>
      <c r="K27" s="35"/>
      <c r="L27" s="36"/>
      <c r="M27" s="37"/>
      <c r="N27" s="172"/>
      <c r="Q27" s="38"/>
      <c r="U27" s="2" t="s">
        <v>352</v>
      </c>
    </row>
    <row r="28" spans="1:23" x14ac:dyDescent="0.25">
      <c r="A28" s="29"/>
      <c r="B28" s="30"/>
      <c r="C28" s="31"/>
      <c r="D28" s="32"/>
      <c r="E28" s="33"/>
      <c r="F28" s="32"/>
      <c r="G28" s="32"/>
      <c r="H28" s="32"/>
      <c r="I28" s="34"/>
      <c r="J28" s="31"/>
      <c r="K28" s="35"/>
      <c r="L28" s="36"/>
      <c r="M28" s="37"/>
      <c r="N28" s="172"/>
      <c r="Q28" s="38"/>
    </row>
    <row r="29" spans="1:23" x14ac:dyDescent="0.25">
      <c r="A29" s="29"/>
      <c r="B29" s="30"/>
      <c r="C29" s="31"/>
      <c r="D29" s="32"/>
      <c r="E29" s="33"/>
      <c r="F29" s="32"/>
      <c r="G29" s="32"/>
      <c r="H29" s="32"/>
      <c r="I29" s="34"/>
      <c r="J29" s="31"/>
      <c r="K29" s="35"/>
      <c r="L29" s="36"/>
      <c r="M29" s="37"/>
      <c r="N29" s="172"/>
      <c r="Q29" s="38"/>
    </row>
    <row r="30" spans="1:23" x14ac:dyDescent="0.25">
      <c r="A30" s="43"/>
      <c r="B30" s="44"/>
      <c r="C30" s="45"/>
      <c r="D30" s="46"/>
      <c r="E30" s="47"/>
      <c r="F30" s="46"/>
      <c r="G30" s="46"/>
      <c r="H30" s="46"/>
      <c r="I30" s="48"/>
      <c r="J30" s="45"/>
      <c r="K30" s="49"/>
      <c r="L30" s="50"/>
      <c r="M30" s="51"/>
      <c r="N30" s="277"/>
      <c r="O30" s="20"/>
      <c r="P30" s="20"/>
      <c r="Q30" s="39"/>
    </row>
    <row r="31" spans="1:23" ht="18" customHeight="1" x14ac:dyDescent="0.25">
      <c r="A31" s="688" t="str">
        <f>cal!$AK$7&amp;" "&amp;$V$16&amp;" "&amp;ROUND(cal!BK39,1)&amp;IF(cal!$Z$5=1," cm, ",IF(cal!$Z$5=2," in, "))&amp;$V$17&amp;" "&amp;ROUND(cal!BL39,1)&amp;IF(cal!$Z$5=1," cm, ",IF(cal!$Z$5=2," in, "))&amp;$V$18&amp;" "&amp;ROUND(cal!BM39,1)&amp;IF(cal!$Z$5=1," cm ",IF(cal!$Z$5=2," in "))&amp;$S31</f>
        <v>Briza 22 (230V) hoogte 54,5 cm, breedte 22 cm, lengte 95 cm (Type 04)</v>
      </c>
      <c r="B31" s="689"/>
      <c r="C31" s="689"/>
      <c r="D31" s="689"/>
      <c r="E31" s="689"/>
      <c r="F31" s="689"/>
      <c r="G31" s="689"/>
      <c r="H31" s="689"/>
      <c r="I31" s="689"/>
      <c r="J31" s="689"/>
      <c r="K31" s="689"/>
      <c r="L31" s="689"/>
      <c r="M31" s="690" t="str">
        <f>$U$27</f>
        <v>Bestelcode:</v>
      </c>
      <c r="N31" s="690"/>
      <c r="O31" s="690"/>
      <c r="P31" s="690"/>
      <c r="Q31" s="691"/>
      <c r="R31" s="207"/>
      <c r="S31" s="207" t="s">
        <v>228</v>
      </c>
    </row>
    <row r="32" spans="1:23" x14ac:dyDescent="0.25">
      <c r="A32" s="29"/>
      <c r="B32" s="30"/>
      <c r="C32" s="31"/>
      <c r="D32" s="32"/>
      <c r="E32" s="33"/>
      <c r="F32" s="32"/>
      <c r="G32" s="32"/>
      <c r="H32" s="32"/>
      <c r="I32" s="34"/>
      <c r="J32" s="31"/>
      <c r="K32" s="35"/>
      <c r="L32" s="36"/>
      <c r="M32" s="37"/>
      <c r="N32" s="172"/>
      <c r="Q32" s="38"/>
    </row>
    <row r="33" spans="1:19" x14ac:dyDescent="0.25">
      <c r="A33" s="29"/>
      <c r="B33" s="30"/>
      <c r="C33" s="31"/>
      <c r="D33" s="32"/>
      <c r="E33" s="33"/>
      <c r="F33" s="32"/>
      <c r="G33" s="32"/>
      <c r="H33" s="32"/>
      <c r="I33" s="34"/>
      <c r="J33" s="31"/>
      <c r="K33" s="35"/>
      <c r="L33" s="36"/>
      <c r="M33" s="37"/>
      <c r="N33" s="172"/>
      <c r="Q33" s="38"/>
    </row>
    <row r="34" spans="1:19" x14ac:dyDescent="0.25">
      <c r="A34" s="29"/>
      <c r="B34" s="30"/>
      <c r="C34" s="31"/>
      <c r="D34" s="32"/>
      <c r="E34" s="33"/>
      <c r="F34" s="32"/>
      <c r="G34" s="32"/>
      <c r="H34" s="32"/>
      <c r="I34" s="34"/>
      <c r="J34" s="31"/>
      <c r="K34" s="35"/>
      <c r="L34" s="36"/>
      <c r="M34" s="37"/>
      <c r="N34" s="172"/>
      <c r="Q34" s="38"/>
    </row>
    <row r="35" spans="1:19" x14ac:dyDescent="0.25">
      <c r="A35" s="29"/>
      <c r="B35" s="30"/>
      <c r="C35" s="31"/>
      <c r="D35" s="32"/>
      <c r="E35" s="33"/>
      <c r="F35" s="32"/>
      <c r="G35" s="32"/>
      <c r="H35" s="32"/>
      <c r="I35" s="34"/>
      <c r="J35" s="31"/>
      <c r="K35" s="35"/>
      <c r="L35" s="36"/>
      <c r="M35" s="37"/>
      <c r="N35" s="172"/>
      <c r="Q35" s="38"/>
    </row>
    <row r="36" spans="1:19" x14ac:dyDescent="0.25">
      <c r="A36" s="29"/>
      <c r="B36" s="30"/>
      <c r="C36" s="31"/>
      <c r="D36" s="32"/>
      <c r="E36" s="33"/>
      <c r="F36" s="32"/>
      <c r="G36" s="32"/>
      <c r="H36" s="32"/>
      <c r="I36" s="34"/>
      <c r="J36" s="31"/>
      <c r="K36" s="35"/>
      <c r="L36" s="36"/>
      <c r="M36" s="37"/>
      <c r="N36" s="172"/>
      <c r="Q36" s="38"/>
    </row>
    <row r="37" spans="1:19" x14ac:dyDescent="0.25">
      <c r="A37" s="29"/>
      <c r="B37" s="30"/>
      <c r="C37" s="31"/>
      <c r="D37" s="32"/>
      <c r="E37" s="33"/>
      <c r="F37" s="32"/>
      <c r="G37" s="32"/>
      <c r="H37" s="32"/>
      <c r="I37" s="34"/>
      <c r="J37" s="31"/>
      <c r="K37" s="35"/>
      <c r="L37" s="36"/>
      <c r="M37" s="37"/>
      <c r="N37" s="172"/>
      <c r="Q37" s="38"/>
    </row>
    <row r="38" spans="1:19" x14ac:dyDescent="0.25">
      <c r="A38" s="43"/>
      <c r="B38" s="44"/>
      <c r="C38" s="45"/>
      <c r="D38" s="46"/>
      <c r="E38" s="47"/>
      <c r="F38" s="46"/>
      <c r="G38" s="46"/>
      <c r="H38" s="46"/>
      <c r="I38" s="48"/>
      <c r="J38" s="45"/>
      <c r="K38" s="49"/>
      <c r="L38" s="50"/>
      <c r="M38" s="51"/>
      <c r="N38" s="277"/>
      <c r="O38" s="20"/>
      <c r="P38" s="20"/>
      <c r="Q38" s="39"/>
    </row>
    <row r="39" spans="1:19" ht="16.899999999999999" customHeight="1" x14ac:dyDescent="0.25">
      <c r="A39" s="688" t="str">
        <f>cal!$AK$7&amp;" "&amp;$V$16&amp;" "&amp;ROUND(cal!BK47,1)&amp;IF(cal!$Z$5=1," cm, ",IF(cal!$Z$5=2," in, "))&amp;$V$17&amp;" "&amp;ROUND(cal!BL47,1)&amp;IF(cal!$Z$5=1," cm, ",IF(cal!$Z$5=2," in, "))&amp;$V$18&amp;" "&amp;ROUND(cal!BM47,1)&amp;IF(cal!$Z$5=1," cm ",IF(cal!$Z$5=2," in "))&amp;$S39</f>
        <v>Briza 22 (230V) hoogte 54,5 cm, breedte 22 cm, lengte 125 cm (Type 06)</v>
      </c>
      <c r="B39" s="689"/>
      <c r="C39" s="689"/>
      <c r="D39" s="689"/>
      <c r="E39" s="689"/>
      <c r="F39" s="689"/>
      <c r="G39" s="689"/>
      <c r="H39" s="689"/>
      <c r="I39" s="689"/>
      <c r="J39" s="689"/>
      <c r="K39" s="689"/>
      <c r="L39" s="689"/>
      <c r="M39" s="690" t="str">
        <f>$U$27</f>
        <v>Bestelcode:</v>
      </c>
      <c r="N39" s="690"/>
      <c r="O39" s="690"/>
      <c r="P39" s="690"/>
      <c r="Q39" s="691"/>
      <c r="R39" s="207"/>
      <c r="S39" s="207" t="s">
        <v>229</v>
      </c>
    </row>
    <row r="40" spans="1:19" x14ac:dyDescent="0.25">
      <c r="A40" s="29"/>
      <c r="B40" s="30"/>
      <c r="C40" s="31"/>
      <c r="D40" s="32"/>
      <c r="E40" s="33"/>
      <c r="F40" s="32"/>
      <c r="G40" s="32"/>
      <c r="H40" s="32"/>
      <c r="I40" s="34"/>
      <c r="J40" s="31"/>
      <c r="K40" s="35"/>
      <c r="L40" s="36"/>
      <c r="M40" s="37"/>
      <c r="N40" s="172"/>
      <c r="Q40" s="38"/>
    </row>
    <row r="41" spans="1:19" x14ac:dyDescent="0.25">
      <c r="A41" s="29"/>
      <c r="B41" s="30"/>
      <c r="C41" s="31"/>
      <c r="D41" s="32"/>
      <c r="E41" s="33"/>
      <c r="F41" s="32"/>
      <c r="G41" s="32"/>
      <c r="H41" s="32"/>
      <c r="I41" s="34"/>
      <c r="J41" s="31"/>
      <c r="K41" s="35"/>
      <c r="L41" s="36"/>
      <c r="M41" s="37"/>
      <c r="N41" s="172"/>
      <c r="Q41" s="38"/>
    </row>
    <row r="42" spans="1:19" x14ac:dyDescent="0.25">
      <c r="A42" s="29"/>
      <c r="B42" s="30"/>
      <c r="C42" s="31"/>
      <c r="D42" s="32"/>
      <c r="E42" s="33"/>
      <c r="F42" s="32"/>
      <c r="G42" s="32"/>
      <c r="H42" s="32"/>
      <c r="I42" s="34"/>
      <c r="J42" s="31"/>
      <c r="K42" s="35"/>
      <c r="L42" s="36"/>
      <c r="M42" s="37"/>
      <c r="N42" s="172"/>
      <c r="Q42" s="38"/>
    </row>
    <row r="43" spans="1:19" x14ac:dyDescent="0.25">
      <c r="A43" s="29"/>
      <c r="B43" s="30"/>
      <c r="C43" s="31"/>
      <c r="D43" s="32"/>
      <c r="E43" s="33"/>
      <c r="F43" s="32"/>
      <c r="G43" s="32"/>
      <c r="H43" s="32"/>
      <c r="I43" s="34"/>
      <c r="J43" s="31"/>
      <c r="K43" s="35"/>
      <c r="L43" s="36"/>
      <c r="M43" s="37"/>
      <c r="N43" s="172"/>
      <c r="Q43" s="38"/>
    </row>
    <row r="44" spans="1:19" x14ac:dyDescent="0.25">
      <c r="A44" s="29"/>
      <c r="B44" s="30"/>
      <c r="C44" s="31"/>
      <c r="D44" s="32"/>
      <c r="E44" s="33"/>
      <c r="F44" s="32"/>
      <c r="G44" s="32"/>
      <c r="H44" s="32"/>
      <c r="I44" s="34"/>
      <c r="J44" s="31"/>
      <c r="K44" s="35"/>
      <c r="L44" s="36"/>
      <c r="M44" s="37"/>
      <c r="N44" s="172"/>
      <c r="Q44" s="38"/>
    </row>
    <row r="45" spans="1:19" x14ac:dyDescent="0.25">
      <c r="A45" s="29"/>
      <c r="B45" s="30"/>
      <c r="C45" s="31"/>
      <c r="D45" s="32"/>
      <c r="E45" s="33"/>
      <c r="F45" s="32"/>
      <c r="G45" s="32"/>
      <c r="H45" s="32"/>
      <c r="I45" s="34"/>
      <c r="J45" s="31"/>
      <c r="K45" s="35"/>
      <c r="L45" s="36"/>
      <c r="M45" s="37"/>
      <c r="N45" s="172"/>
      <c r="Q45" s="38"/>
    </row>
    <row r="46" spans="1:19" x14ac:dyDescent="0.25">
      <c r="A46" s="43"/>
      <c r="B46" s="44"/>
      <c r="C46" s="45"/>
      <c r="D46" s="46"/>
      <c r="E46" s="47"/>
      <c r="F46" s="46"/>
      <c r="G46" s="46"/>
      <c r="H46" s="46"/>
      <c r="I46" s="48"/>
      <c r="J46" s="45"/>
      <c r="K46" s="49"/>
      <c r="L46" s="50"/>
      <c r="M46" s="51"/>
      <c r="N46" s="277"/>
      <c r="O46" s="20"/>
      <c r="P46" s="20"/>
      <c r="Q46" s="39"/>
    </row>
    <row r="47" spans="1:19" x14ac:dyDescent="0.25">
      <c r="A47" s="688" t="str">
        <f>cal!$AK$7&amp;" "&amp;$V$16&amp;" "&amp;ROUND(cal!BK55,1)&amp;IF(cal!$Z$5=1," cm, ",IF(cal!$Z$5=2," in, "))&amp;$V$17&amp;" "&amp;ROUND(cal!BL55,1)&amp;IF(cal!$Z$5=1," cm, ",IF(cal!$Z$5=2," in, "))&amp;$V$18&amp;" "&amp;ROUND(cal!BM55,1)&amp;IF(cal!$Z$5=1," cm ",IF(cal!$Z$5=2," in "))&amp;$S47</f>
        <v>Briza 22 (230V) hoogte 54,5 cm, breedte 22 cm, lengte 155 cm (Type 08)</v>
      </c>
      <c r="B47" s="689"/>
      <c r="C47" s="689"/>
      <c r="D47" s="689"/>
      <c r="E47" s="689"/>
      <c r="F47" s="689"/>
      <c r="G47" s="689"/>
      <c r="H47" s="689"/>
      <c r="I47" s="689"/>
      <c r="J47" s="689"/>
      <c r="K47" s="689"/>
      <c r="L47" s="689"/>
      <c r="M47" s="690" t="str">
        <f>$U$27</f>
        <v>Bestelcode:</v>
      </c>
      <c r="N47" s="690"/>
      <c r="O47" s="690"/>
      <c r="P47" s="690"/>
      <c r="Q47" s="691"/>
      <c r="R47" s="207"/>
      <c r="S47" s="207" t="s">
        <v>230</v>
      </c>
    </row>
    <row r="48" spans="1:19" x14ac:dyDescent="0.25">
      <c r="A48" s="29"/>
      <c r="B48" s="30"/>
      <c r="C48" s="31"/>
      <c r="D48" s="32"/>
      <c r="E48" s="33"/>
      <c r="F48" s="32"/>
      <c r="G48" s="32"/>
      <c r="H48" s="32"/>
      <c r="I48" s="34"/>
      <c r="J48" s="31"/>
      <c r="K48" s="35"/>
      <c r="L48" s="36"/>
      <c r="M48" s="37"/>
      <c r="N48" s="172"/>
      <c r="Q48" s="38"/>
    </row>
    <row r="49" spans="1:19" x14ac:dyDescent="0.25">
      <c r="A49" s="29"/>
      <c r="B49" s="30"/>
      <c r="C49" s="31"/>
      <c r="D49" s="32"/>
      <c r="E49" s="33"/>
      <c r="F49" s="32"/>
      <c r="G49" s="32"/>
      <c r="H49" s="32"/>
      <c r="I49" s="34"/>
      <c r="J49" s="31"/>
      <c r="K49" s="35"/>
      <c r="L49" s="36"/>
      <c r="M49" s="37"/>
      <c r="N49" s="172"/>
      <c r="Q49" s="38"/>
    </row>
    <row r="50" spans="1:19" x14ac:dyDescent="0.25">
      <c r="A50" s="29"/>
      <c r="B50" s="30"/>
      <c r="C50" s="31"/>
      <c r="D50" s="32"/>
      <c r="E50" s="33"/>
      <c r="F50" s="32"/>
      <c r="G50" s="32"/>
      <c r="H50" s="32"/>
      <c r="I50" s="34"/>
      <c r="J50" s="31"/>
      <c r="K50" s="35"/>
      <c r="L50" s="36"/>
      <c r="M50" s="37"/>
      <c r="N50" s="172"/>
      <c r="Q50" s="38"/>
    </row>
    <row r="51" spans="1:19" x14ac:dyDescent="0.25">
      <c r="A51" s="29"/>
      <c r="B51" s="30"/>
      <c r="C51" s="31"/>
      <c r="D51" s="32"/>
      <c r="E51" s="33"/>
      <c r="F51" s="32"/>
      <c r="G51" s="32"/>
      <c r="H51" s="32"/>
      <c r="I51" s="34"/>
      <c r="J51" s="31"/>
      <c r="K51" s="35"/>
      <c r="L51" s="36"/>
      <c r="M51" s="37"/>
      <c r="N51" s="172"/>
      <c r="Q51" s="38"/>
    </row>
    <row r="52" spans="1:19" x14ac:dyDescent="0.25">
      <c r="A52" s="29"/>
      <c r="B52" s="30"/>
      <c r="C52" s="31"/>
      <c r="D52" s="32"/>
      <c r="E52" s="33"/>
      <c r="F52" s="32"/>
      <c r="G52" s="32"/>
      <c r="H52" s="32"/>
      <c r="I52" s="34"/>
      <c r="J52" s="31"/>
      <c r="K52" s="35"/>
      <c r="L52" s="36"/>
      <c r="M52" s="37"/>
      <c r="N52" s="172"/>
      <c r="Q52" s="38"/>
    </row>
    <row r="53" spans="1:19" x14ac:dyDescent="0.25">
      <c r="A53" s="29"/>
      <c r="B53" s="30"/>
      <c r="C53" s="31"/>
      <c r="D53" s="32"/>
      <c r="E53" s="33"/>
      <c r="F53" s="32"/>
      <c r="G53" s="32"/>
      <c r="H53" s="32"/>
      <c r="I53" s="34"/>
      <c r="J53" s="31"/>
      <c r="K53" s="35"/>
      <c r="L53" s="36"/>
      <c r="M53" s="37"/>
      <c r="N53" s="172"/>
      <c r="Q53" s="38"/>
    </row>
    <row r="54" spans="1:19" x14ac:dyDescent="0.25">
      <c r="A54" s="43"/>
      <c r="B54" s="44"/>
      <c r="C54" s="45"/>
      <c r="D54" s="46"/>
      <c r="E54" s="47"/>
      <c r="F54" s="46"/>
      <c r="G54" s="46"/>
      <c r="H54" s="46"/>
      <c r="I54" s="48"/>
      <c r="J54" s="45"/>
      <c r="K54" s="49"/>
      <c r="L54" s="50"/>
      <c r="M54" s="51"/>
      <c r="N54" s="277"/>
      <c r="O54" s="20"/>
      <c r="P54" s="20"/>
      <c r="Q54" s="39"/>
    </row>
    <row r="55" spans="1:19" x14ac:dyDescent="0.25">
      <c r="A55" s="688" t="str">
        <f>cal!$AK$7&amp;" "&amp;$V$16&amp;" "&amp;ROUND(cal!BK63,1)&amp;IF(cal!$Z$5=1," cm, ",IF(cal!$Z$5=2," in, "))&amp;$V$17&amp;" "&amp;ROUND(cal!BL63,1)&amp;IF(cal!$Z$5=1," cm, ",IF(cal!$Z$5=2," in, "))&amp;$V$18&amp;" "&amp;ROUND(cal!BM63,1)&amp;IF(cal!$Z$5=1," cm ",IF(cal!$Z$5=2," in "))&amp;$S55</f>
        <v>Briza 22 (230V) hoogte 54,5 cm, breedte 22 cm, lengte 190 cm (Type 10)</v>
      </c>
      <c r="B55" s="689"/>
      <c r="C55" s="689"/>
      <c r="D55" s="689"/>
      <c r="E55" s="689"/>
      <c r="F55" s="689"/>
      <c r="G55" s="689"/>
      <c r="H55" s="689"/>
      <c r="I55" s="689"/>
      <c r="J55" s="689"/>
      <c r="K55" s="689"/>
      <c r="L55" s="689"/>
      <c r="M55" s="690" t="str">
        <f>$U$27</f>
        <v>Bestelcode:</v>
      </c>
      <c r="N55" s="690"/>
      <c r="O55" s="690"/>
      <c r="P55" s="690"/>
      <c r="Q55" s="691"/>
      <c r="R55" s="207"/>
      <c r="S55" s="207" t="s">
        <v>231</v>
      </c>
    </row>
    <row r="56" spans="1:19" x14ac:dyDescent="0.25">
      <c r="A56" s="29"/>
      <c r="B56" s="30"/>
      <c r="C56" s="31"/>
      <c r="D56" s="32"/>
      <c r="E56" s="33"/>
      <c r="F56" s="32"/>
      <c r="G56" s="32"/>
      <c r="H56" s="32"/>
      <c r="I56" s="34"/>
      <c r="J56" s="31"/>
      <c r="K56" s="35"/>
      <c r="L56" s="36"/>
      <c r="M56" s="37"/>
      <c r="N56" s="172"/>
      <c r="Q56" s="38"/>
    </row>
    <row r="57" spans="1:19" x14ac:dyDescent="0.25">
      <c r="A57" s="29"/>
      <c r="B57" s="30"/>
      <c r="C57" s="31"/>
      <c r="D57" s="32"/>
      <c r="E57" s="33"/>
      <c r="F57" s="32"/>
      <c r="G57" s="32"/>
      <c r="H57" s="32"/>
      <c r="I57" s="34"/>
      <c r="J57" s="31"/>
      <c r="K57" s="35"/>
      <c r="L57" s="36"/>
      <c r="M57" s="37"/>
      <c r="N57" s="172"/>
      <c r="Q57" s="38"/>
    </row>
    <row r="58" spans="1:19" x14ac:dyDescent="0.25">
      <c r="A58" s="29"/>
      <c r="B58" s="30"/>
      <c r="C58" s="31"/>
      <c r="D58" s="32"/>
      <c r="E58" s="33"/>
      <c r="F58" s="32"/>
      <c r="G58" s="32"/>
      <c r="H58" s="32"/>
      <c r="I58" s="34"/>
      <c r="J58" s="31"/>
      <c r="K58" s="35"/>
      <c r="L58" s="36"/>
      <c r="M58" s="37"/>
      <c r="N58" s="172"/>
      <c r="Q58" s="38"/>
    </row>
    <row r="59" spans="1:19" x14ac:dyDescent="0.25">
      <c r="A59" s="29"/>
      <c r="B59" s="30"/>
      <c r="C59" s="31"/>
      <c r="D59" s="32"/>
      <c r="E59" s="33"/>
      <c r="F59" s="32"/>
      <c r="G59" s="32"/>
      <c r="H59" s="32"/>
      <c r="I59" s="34"/>
      <c r="J59" s="31"/>
      <c r="K59" s="35"/>
      <c r="L59" s="36"/>
      <c r="M59" s="37"/>
      <c r="N59" s="172"/>
      <c r="Q59" s="38"/>
    </row>
    <row r="60" spans="1:19" x14ac:dyDescent="0.25">
      <c r="A60" s="29"/>
      <c r="B60" s="30"/>
      <c r="C60" s="31"/>
      <c r="D60" s="32"/>
      <c r="E60" s="33"/>
      <c r="F60" s="32"/>
      <c r="G60" s="32"/>
      <c r="H60" s="32"/>
      <c r="I60" s="34"/>
      <c r="J60" s="31"/>
      <c r="K60" s="35"/>
      <c r="L60" s="36"/>
      <c r="M60" s="37"/>
      <c r="N60" s="172"/>
      <c r="Q60" s="38"/>
    </row>
    <row r="61" spans="1:19" x14ac:dyDescent="0.25">
      <c r="A61" s="29"/>
      <c r="B61" s="30"/>
      <c r="C61" s="31"/>
      <c r="D61" s="32"/>
      <c r="E61" s="33"/>
      <c r="F61" s="32"/>
      <c r="G61" s="32"/>
      <c r="H61" s="32"/>
      <c r="I61" s="34"/>
      <c r="J61" s="31"/>
      <c r="K61" s="35"/>
      <c r="L61" s="36"/>
      <c r="M61" s="37"/>
      <c r="N61" s="172"/>
      <c r="Q61" s="38"/>
    </row>
    <row r="62" spans="1:19" x14ac:dyDescent="0.25">
      <c r="A62" s="43"/>
      <c r="B62" s="44"/>
      <c r="C62" s="45"/>
      <c r="D62" s="46"/>
      <c r="E62" s="47"/>
      <c r="F62" s="46"/>
      <c r="G62" s="46"/>
      <c r="H62" s="46"/>
      <c r="I62" s="48"/>
      <c r="J62" s="45"/>
      <c r="K62" s="49"/>
      <c r="L62" s="50"/>
      <c r="M62" s="51"/>
      <c r="N62" s="277"/>
      <c r="O62" s="20"/>
      <c r="P62" s="20"/>
      <c r="Q62" s="39"/>
    </row>
    <row r="63" spans="1:19" ht="9.4" customHeight="1" x14ac:dyDescent="0.25">
      <c r="A63" s="40" t="s">
        <v>257</v>
      </c>
      <c r="Q63" s="42">
        <f>cal!Q63</f>
        <v>0</v>
      </c>
      <c r="R63" s="42"/>
      <c r="S63" s="42"/>
    </row>
    <row r="64" spans="1:19" ht="9.4" customHeight="1" x14ac:dyDescent="0.25">
      <c r="A64" s="40" t="s">
        <v>15</v>
      </c>
    </row>
    <row r="65" spans="1:1" ht="9.4" customHeight="1" x14ac:dyDescent="0.25">
      <c r="A65" s="40" t="s">
        <v>287</v>
      </c>
    </row>
    <row r="66" spans="1:1" ht="9.4" customHeight="1" x14ac:dyDescent="0.25">
      <c r="A66" s="40" t="s">
        <v>288</v>
      </c>
    </row>
  </sheetData>
  <sheetProtection selectLockedCells="1"/>
  <mergeCells count="27">
    <mergeCell ref="A47:L47"/>
    <mergeCell ref="M47:Q47"/>
    <mergeCell ref="A55:L55"/>
    <mergeCell ref="M55:Q55"/>
    <mergeCell ref="S7:T7"/>
    <mergeCell ref="A10:C10"/>
    <mergeCell ref="F10:I10"/>
    <mergeCell ref="A15:L15"/>
    <mergeCell ref="M15:Q15"/>
    <mergeCell ref="A23:L23"/>
    <mergeCell ref="M23:Q23"/>
    <mergeCell ref="A31:L31"/>
    <mergeCell ref="M31:Q31"/>
    <mergeCell ref="A39:L39"/>
    <mergeCell ref="M39:Q39"/>
    <mergeCell ref="L6:M6"/>
    <mergeCell ref="L7:M7"/>
    <mergeCell ref="L9:M9"/>
    <mergeCell ref="L10:M10"/>
    <mergeCell ref="Q7:R7"/>
    <mergeCell ref="Q8:R10"/>
    <mergeCell ref="G4:J4"/>
    <mergeCell ref="G3:J3"/>
    <mergeCell ref="A8:C8"/>
    <mergeCell ref="F8:I8"/>
    <mergeCell ref="A9:C9"/>
    <mergeCell ref="F9:I9"/>
  </mergeCells>
  <dataValidations disablePrompts="1" count="7">
    <dataValidation type="decimal" errorStyle="information" allowBlank="1" showErrorMessage="1" error="Eingabe außerhalb des gültigen Bereichs." prompt="20°C bis 35°C" sqref="J11" xr:uid="{00000000-0002-0000-0200-000000000000}">
      <formula1>0.01</formula1>
      <formula2>1</formula2>
    </dataValidation>
    <dataValidation type="whole" errorStyle="information" allowBlank="1" showErrorMessage="1" error="Eingabe außerhalb des gültigen Bereichs." prompt="Eingabe zwischen 5°C bis 20°C" sqref="J8" xr:uid="{00000000-0002-0000-0200-000001000000}">
      <formula1>5</formula1>
      <formula2>20</formula2>
    </dataValidation>
    <dataValidation type="whole" errorStyle="information" allowBlank="1" showErrorMessage="1" error="Eingabe außerhalb des gültigen Bereichs." prompt="Eingabe zwischen Vorlauftemp. und Raumtemp." sqref="J9" xr:uid="{00000000-0002-0000-0200-000002000000}">
      <formula1>J8</formula1>
      <formula2>J10</formula2>
    </dataValidation>
    <dataValidation type="whole" errorStyle="information" allowBlank="1" showErrorMessage="1" error="Temperatur außerhalb des gütligen Bereichs." prompt="Eingabe zwischen 30°C bis 95°C" sqref="D8" xr:uid="{00000000-0002-0000-0200-000003000000}">
      <formula1>30</formula1>
      <formula2>95</formula2>
    </dataValidation>
    <dataValidation type="whole" errorStyle="information" allowBlank="1" showErrorMessage="1" error="Eingabe außerhalb des gültigen Bereichs." prompt="Eingabe zwischen Vorlauftemp. und Raumtemp." sqref="D9" xr:uid="{00000000-0002-0000-0200-000004000000}">
      <formula1>D10</formula1>
      <formula2>D8</formula2>
    </dataValidation>
    <dataValidation type="whole" errorStyle="information" allowBlank="1" showErrorMessage="1" error="Eingabe außerhalb des gültigen Bereichs." prompt="Eingabe zwischen 16°C bis 30°C" sqref="D10" xr:uid="{00000000-0002-0000-0200-000005000000}">
      <formula1>16</formula1>
      <formula2>30</formula2>
    </dataValidation>
    <dataValidation type="whole" errorStyle="information" allowBlank="1" showErrorMessage="1" error="Eingabe außerhalb des gültigen Bereichs." prompt="20°C bis 35°C" sqref="J10" xr:uid="{00000000-0002-0000-0200-000006000000}">
      <formula1>20</formula1>
      <formula2>35</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EN"/>
  <dimension ref="A1:W66"/>
  <sheetViews>
    <sheetView workbookViewId="0">
      <selection activeCell="K2" sqref="K2:M2"/>
    </sheetView>
  </sheetViews>
  <sheetFormatPr defaultColWidth="9.140625" defaultRowHeight="15" x14ac:dyDescent="0.25"/>
  <cols>
    <col min="1" max="1" width="7" style="2" customWidth="1"/>
    <col min="2" max="2" width="6.140625" style="2" customWidth="1"/>
    <col min="3" max="3" width="7" style="2" customWidth="1"/>
    <col min="4" max="4" width="6.7109375" style="2" customWidth="1"/>
    <col min="5" max="19" width="7" style="2" customWidth="1"/>
    <col min="20" max="16384" width="9.140625" style="2"/>
  </cols>
  <sheetData>
    <row r="1" spans="1:23" x14ac:dyDescent="0.25">
      <c r="A1" s="1"/>
    </row>
    <row r="2" spans="1:23" x14ac:dyDescent="0.25">
      <c r="A2" s="3" t="s">
        <v>26</v>
      </c>
      <c r="B2" s="4"/>
    </row>
    <row r="3" spans="1:23" x14ac:dyDescent="0.25">
      <c r="A3" s="1"/>
      <c r="G3" s="684" t="s">
        <v>170</v>
      </c>
      <c r="H3" s="622">
        <v>0</v>
      </c>
      <c r="I3" s="622">
        <v>0</v>
      </c>
      <c r="J3" s="623">
        <v>0</v>
      </c>
    </row>
    <row r="4" spans="1:23" x14ac:dyDescent="0.25">
      <c r="A4" s="5" t="s">
        <v>24</v>
      </c>
      <c r="G4" s="684" t="s">
        <v>112</v>
      </c>
      <c r="H4" s="622">
        <v>0</v>
      </c>
      <c r="I4" s="622">
        <v>0</v>
      </c>
      <c r="J4" s="623">
        <v>0</v>
      </c>
    </row>
    <row r="5" spans="1:23" ht="6" customHeight="1" thickBot="1" x14ac:dyDescent="0.3">
      <c r="A5" s="6"/>
      <c r="B5" s="7"/>
      <c r="C5" s="7"/>
      <c r="D5" s="7"/>
      <c r="E5" s="7"/>
      <c r="F5" s="7"/>
      <c r="G5" s="7"/>
      <c r="H5" s="7"/>
      <c r="I5" s="7"/>
      <c r="J5" s="7"/>
      <c r="K5" s="7"/>
      <c r="L5" s="7"/>
      <c r="M5" s="7"/>
      <c r="N5" s="7"/>
      <c r="O5" s="7"/>
      <c r="P5" s="7"/>
      <c r="Q5" s="8"/>
      <c r="R5" s="10"/>
      <c r="S5" s="10"/>
    </row>
    <row r="6" spans="1:23" ht="15.75" thickBot="1" x14ac:dyDescent="0.3">
      <c r="A6" s="9" t="s">
        <v>16</v>
      </c>
      <c r="B6" s="10"/>
      <c r="C6" s="10"/>
      <c r="D6" s="10"/>
      <c r="E6" s="10"/>
      <c r="F6" s="10"/>
      <c r="G6" s="10"/>
      <c r="H6" s="10"/>
      <c r="I6" s="10"/>
      <c r="J6" s="10"/>
      <c r="K6" s="10"/>
      <c r="L6" s="686" t="s">
        <v>188</v>
      </c>
      <c r="M6" s="687"/>
      <c r="N6" s="274"/>
      <c r="O6" s="10"/>
      <c r="P6" s="10"/>
      <c r="Q6" s="11"/>
      <c r="R6" s="10"/>
      <c r="S6" s="10"/>
    </row>
    <row r="7" spans="1:23" ht="15.75" thickBot="1" x14ac:dyDescent="0.3">
      <c r="A7" s="9" t="s">
        <v>17</v>
      </c>
      <c r="B7" s="10"/>
      <c r="C7" s="10"/>
      <c r="D7" s="10"/>
      <c r="E7" s="10"/>
      <c r="F7" s="12" t="s">
        <v>18</v>
      </c>
      <c r="G7" s="12"/>
      <c r="H7" s="12"/>
      <c r="I7" s="10"/>
      <c r="J7" s="10"/>
      <c r="K7" s="10"/>
      <c r="L7" s="636"/>
      <c r="M7" s="637"/>
      <c r="N7" s="275"/>
      <c r="O7" s="10"/>
      <c r="P7" s="10"/>
      <c r="Q7" s="552" t="s">
        <v>196</v>
      </c>
      <c r="R7" s="553"/>
      <c r="S7" s="552" t="s">
        <v>308</v>
      </c>
      <c r="T7" s="553"/>
    </row>
    <row r="8" spans="1:23" ht="15.75" thickBot="1" x14ac:dyDescent="0.3">
      <c r="A8" s="685" t="s">
        <v>177</v>
      </c>
      <c r="B8" s="613"/>
      <c r="C8" s="613"/>
      <c r="D8" s="13">
        <f>cal!E10</f>
        <v>65</v>
      </c>
      <c r="E8" s="52" t="str">
        <f>IF(cal!$Z$5=1,"°C",IF(cal!$Z$5=2,"°F"))</f>
        <v>°C</v>
      </c>
      <c r="F8" s="613" t="str">
        <f>A8</f>
        <v>Supply water</v>
      </c>
      <c r="G8" s="613"/>
      <c r="H8" s="613"/>
      <c r="I8" s="613"/>
      <c r="J8" s="13">
        <f>cal!K10</f>
        <v>16</v>
      </c>
      <c r="K8" s="10" t="str">
        <f>E8</f>
        <v>°C</v>
      </c>
      <c r="L8" s="10"/>
      <c r="M8" s="10"/>
      <c r="N8" s="10"/>
      <c r="O8" s="10"/>
      <c r="P8" s="10"/>
      <c r="Q8" s="643"/>
      <c r="R8" s="644"/>
      <c r="S8" s="10"/>
    </row>
    <row r="9" spans="1:23" ht="15.75" thickBot="1" x14ac:dyDescent="0.3">
      <c r="A9" s="685" t="s">
        <v>178</v>
      </c>
      <c r="B9" s="613"/>
      <c r="C9" s="613"/>
      <c r="D9" s="13">
        <f>cal!E11</f>
        <v>55</v>
      </c>
      <c r="E9" s="52" t="str">
        <f>E8</f>
        <v>°C</v>
      </c>
      <c r="F9" s="613" t="str">
        <f>A9</f>
        <v>Return water</v>
      </c>
      <c r="G9" s="613"/>
      <c r="H9" s="613"/>
      <c r="I9" s="614"/>
      <c r="J9" s="13">
        <f>cal!K11</f>
        <v>18</v>
      </c>
      <c r="K9" s="10" t="str">
        <f>E8</f>
        <v>°C</v>
      </c>
      <c r="L9" s="686" t="s">
        <v>185</v>
      </c>
      <c r="M9" s="687"/>
      <c r="N9" s="274"/>
      <c r="O9" s="10"/>
      <c r="P9" s="10"/>
      <c r="Q9" s="645"/>
      <c r="R9" s="646"/>
      <c r="S9" s="10"/>
    </row>
    <row r="10" spans="1:23" ht="15.75" thickBot="1" x14ac:dyDescent="0.3">
      <c r="A10" s="262" t="s">
        <v>179</v>
      </c>
      <c r="B10" s="263"/>
      <c r="C10" s="263"/>
      <c r="D10" s="13">
        <f>cal!E12</f>
        <v>20</v>
      </c>
      <c r="E10" s="52" t="str">
        <f>E8</f>
        <v>°C</v>
      </c>
      <c r="F10" s="613" t="str">
        <f>A10</f>
        <v>Entering air (dry bulb)</v>
      </c>
      <c r="G10" s="613"/>
      <c r="H10" s="613"/>
      <c r="I10" s="614"/>
      <c r="J10" s="13">
        <f>cal!K12</f>
        <v>27</v>
      </c>
      <c r="K10" s="10" t="str">
        <f>E8</f>
        <v>°C</v>
      </c>
      <c r="L10" s="641"/>
      <c r="M10" s="642"/>
      <c r="N10" s="276"/>
      <c r="O10" s="10"/>
      <c r="P10" s="10"/>
      <c r="Q10" s="645"/>
      <c r="R10" s="646"/>
      <c r="S10" s="10"/>
      <c r="U10" s="2" t="s">
        <v>323</v>
      </c>
    </row>
    <row r="11" spans="1:23" x14ac:dyDescent="0.25">
      <c r="A11" s="262" t="s">
        <v>181</v>
      </c>
      <c r="B11" s="263"/>
      <c r="C11" s="263"/>
      <c r="D11" s="10"/>
      <c r="E11" s="10"/>
      <c r="F11" s="10" t="s">
        <v>141</v>
      </c>
      <c r="G11" s="10"/>
      <c r="H11" s="10"/>
      <c r="I11" s="10"/>
      <c r="J11" s="15">
        <f>cal!K14</f>
        <v>0.5</v>
      </c>
      <c r="K11" s="10"/>
      <c r="L11" s="10"/>
      <c r="M11" s="10"/>
      <c r="N11" s="10"/>
      <c r="O11" s="10"/>
      <c r="P11" s="10"/>
      <c r="Q11" s="11"/>
      <c r="R11" s="10"/>
      <c r="S11" s="10"/>
      <c r="U11" s="2" t="s">
        <v>324</v>
      </c>
    </row>
    <row r="12" spans="1:23" ht="6" customHeight="1" x14ac:dyDescent="0.25">
      <c r="A12" s="16"/>
      <c r="B12" s="17"/>
      <c r="C12" s="17"/>
      <c r="D12" s="17"/>
      <c r="E12" s="18"/>
      <c r="F12" s="18"/>
      <c r="G12" s="18"/>
      <c r="H12" s="18"/>
      <c r="I12" s="18"/>
      <c r="J12" s="18"/>
      <c r="K12" s="18"/>
      <c r="L12" s="18"/>
      <c r="M12" s="18"/>
      <c r="N12" s="18"/>
      <c r="O12" s="18"/>
      <c r="P12" s="18"/>
      <c r="Q12" s="19"/>
      <c r="R12" s="10"/>
      <c r="S12" s="10"/>
    </row>
    <row r="13" spans="1:23" x14ac:dyDescent="0.25">
      <c r="A13" s="20"/>
      <c r="B13" s="20"/>
      <c r="C13" s="20"/>
      <c r="D13" s="20"/>
      <c r="E13" s="20"/>
      <c r="F13" s="20"/>
      <c r="G13" s="20"/>
      <c r="H13" s="20"/>
      <c r="I13" s="20"/>
      <c r="J13" s="20"/>
      <c r="K13" s="20"/>
      <c r="L13" s="20"/>
      <c r="M13" s="20"/>
    </row>
    <row r="14" spans="1:23" s="28" customFormat="1" ht="95.45" customHeight="1" x14ac:dyDescent="0.25">
      <c r="A14" s="21" t="s">
        <v>372</v>
      </c>
      <c r="B14" s="22" t="s">
        <v>19</v>
      </c>
      <c r="C14" s="21" t="str">
        <f>CONCATENATE("Heat output * ",ROUND(D8,0),"/",ROUND(D9,0),"/",ROUND(D10,0)," ["&amp;IF(cal!$Z$5=1,"W",IF(cal!$Z$5=2,"Btu/h"))&amp;"]")</f>
        <v>Heat output * 65/55/20 [W]</v>
      </c>
      <c r="D14" s="23" t="str">
        <f>"Water flowrate, heating ["&amp;IF(cal!$Z$5=1,"l/h",IF(cal!$Z$5=2,"GPM"))&amp;"]"</f>
        <v>Water flowrate, heating [l/h]</v>
      </c>
      <c r="E14" s="24" t="str">
        <f>"Water side pressure loss ["&amp;IF(cal!$Z$5=1,"kPa",IF(cal!$Z$5=2,"ftH2O"))&amp;"]"</f>
        <v>Water side pressure loss [kPa]</v>
      </c>
      <c r="F14" s="22" t="str">
        <f>CONCATENATE("Sens. cooling capacity * ",ROUND(J8,0),"/",ROUND(J9,0),"/",ROUND(J10,0)," ["&amp;IF(cal!$Z$5=1,"W",IF(cal!$Z$5=2,"Btu/h"))&amp;"]")</f>
        <v>Sens. cooling capacity * 16/18/27 [W]</v>
      </c>
      <c r="G14" s="22" t="str">
        <f>CONCATENATE("Tot. cooling capacity ",ROUND(J8,0),"/",ROUND(J9,0),"/",ROUND(J10,0)," ["&amp;IF(cal!$Z$5=1,"W",IF(cal!$Z$5=2,"Btu/h"))&amp;"]")</f>
        <v>Tot. cooling capacity 16/18/27 [W]</v>
      </c>
      <c r="H14" s="22" t="str">
        <f>"Water flowrate, cooling ["&amp;IF(cal!$Z$5=1,"l/h",IF(cal!$Z$5=2,"GPM"))&amp;"]"</f>
        <v>Water flowrate, cooling [l/h]</v>
      </c>
      <c r="I14" s="25" t="str">
        <f>E14</f>
        <v>Water side pressure loss [kPa]</v>
      </c>
      <c r="J14" s="21" t="s">
        <v>20</v>
      </c>
      <c r="K14" s="26" t="s">
        <v>36</v>
      </c>
      <c r="L14" s="22" t="s">
        <v>21</v>
      </c>
      <c r="M14" s="27" t="str">
        <f>"Air flowrate ["&amp;IF(cal!$Z$5=1,"m³/h",IF(cal!$Z$5=2,"CFM"))&amp;"]"</f>
        <v>Air flowrate [m³/h]</v>
      </c>
      <c r="N14" s="27" t="str">
        <f>"Face velocity ["&amp;IF(cal!$Z$5=1,"m/s",IF(cal!$Z$5=2,"ft/min"))&amp;"]"</f>
        <v>Face velocity [m/s]</v>
      </c>
      <c r="O14" s="209" t="str">
        <f>"Air exhaust temp. heating ["&amp;IF(cal!$Z$5=1,"°C",IF(cal!$Z$5=2,"°F"))&amp;"]"</f>
        <v>Air exhaust temp. heating [°C]</v>
      </c>
      <c r="P14" s="209" t="str">
        <f>"Air exhaust temp. heating (wet bulb) ["&amp;IF(cal!$Z$5=1,"°C",IF(cal!$Z$5=2,"°F"))&amp;"]"</f>
        <v>Air exhaust temp. heating (wet bulb) [°C]</v>
      </c>
      <c r="Q14" s="210" t="str">
        <f>"Air exhaust temp. cooling (dry bulb) ["&amp;IF(cal!$Z$5=1,"°C",IF(cal!$Z$5=2,"°F"))&amp;"]"</f>
        <v>Air exhaust temp. cooling (dry bulb) [°C]</v>
      </c>
      <c r="R14" s="210" t="str">
        <f>"Air exhaust temp. cooling (wet bulb) ["&amp;IF(cal!$Z$5=1,"°C",IF(cal!$Z$5=2,"°F"))&amp;"]"</f>
        <v>Air exhaust temp. cooling (wet bulb) [°C]</v>
      </c>
      <c r="S14" s="211" t="s">
        <v>133</v>
      </c>
      <c r="T14" s="211" t="s">
        <v>298</v>
      </c>
      <c r="U14" s="28" t="s">
        <v>359</v>
      </c>
    </row>
    <row r="15" spans="1:23" ht="18" customHeight="1" x14ac:dyDescent="0.25">
      <c r="A15" s="688" t="str">
        <f>cal!$AK$7&amp;" "&amp;$V$16&amp;" "&amp;ROUND(cal!BK23,1)&amp;IF(cal!$Z$5=1," cm, ",IF(cal!$Z$5=2," in, "))&amp;$V$17&amp;" "&amp;ROUND(cal!BL23,1)&amp;IF(cal!$Z$5=1," cm, ",IF(cal!$Z$5=2," in, "))&amp;$V$18&amp;" "&amp;ROUND(cal!BM23,1)&amp;IF(cal!$Z$5=1," cm ",IF(cal!$Z$5=2," in "))&amp;$S15</f>
        <v>Briza 22 (230V) height 54,5 cm, width 22 cm, length 55 cm (Type 02)</v>
      </c>
      <c r="B15" s="689"/>
      <c r="C15" s="689"/>
      <c r="D15" s="689"/>
      <c r="E15" s="689"/>
      <c r="F15" s="689"/>
      <c r="G15" s="689"/>
      <c r="H15" s="689"/>
      <c r="I15" s="689"/>
      <c r="J15" s="689"/>
      <c r="K15" s="689"/>
      <c r="L15" s="689"/>
      <c r="M15" s="690" t="str">
        <f>$U$27</f>
        <v>Order code:</v>
      </c>
      <c r="N15" s="690"/>
      <c r="O15" s="690"/>
      <c r="P15" s="690"/>
      <c r="Q15" s="691"/>
      <c r="R15" s="207"/>
      <c r="S15" s="207" t="s">
        <v>226</v>
      </c>
    </row>
    <row r="16" spans="1:23" x14ac:dyDescent="0.25">
      <c r="A16" s="29"/>
      <c r="B16" s="30"/>
      <c r="C16" s="31"/>
      <c r="D16" s="32"/>
      <c r="E16" s="33"/>
      <c r="F16" s="32"/>
      <c r="G16" s="32"/>
      <c r="H16" s="32"/>
      <c r="I16" s="34"/>
      <c r="J16" s="31"/>
      <c r="K16" s="35"/>
      <c r="L16" s="36"/>
      <c r="M16" s="37"/>
      <c r="N16" s="172"/>
      <c r="Q16" s="38"/>
      <c r="U16" s="2" t="s">
        <v>75</v>
      </c>
      <c r="V16" s="2" t="s">
        <v>235</v>
      </c>
      <c r="W16" s="517" t="s">
        <v>419</v>
      </c>
    </row>
    <row r="17" spans="1:23" x14ac:dyDescent="0.25">
      <c r="A17" s="29"/>
      <c r="B17" s="30"/>
      <c r="C17" s="31"/>
      <c r="D17" s="32"/>
      <c r="E17" s="33"/>
      <c r="F17" s="32"/>
      <c r="G17" s="32"/>
      <c r="H17" s="32"/>
      <c r="I17" s="34"/>
      <c r="J17" s="31"/>
      <c r="K17" s="35"/>
      <c r="L17" s="36"/>
      <c r="M17" s="37"/>
      <c r="N17" s="172"/>
      <c r="Q17" s="38"/>
      <c r="U17" s="2" t="s">
        <v>165</v>
      </c>
      <c r="V17" s="2" t="s">
        <v>236</v>
      </c>
      <c r="W17" s="517" t="s">
        <v>420</v>
      </c>
    </row>
    <row r="18" spans="1:23" x14ac:dyDescent="0.25">
      <c r="A18" s="29"/>
      <c r="B18" s="30"/>
      <c r="C18" s="31"/>
      <c r="D18" s="32"/>
      <c r="E18" s="33"/>
      <c r="F18" s="32"/>
      <c r="G18" s="32"/>
      <c r="H18" s="32"/>
      <c r="I18" s="34"/>
      <c r="J18" s="31"/>
      <c r="K18" s="35"/>
      <c r="L18" s="36"/>
      <c r="M18" s="37"/>
      <c r="N18" s="172"/>
      <c r="Q18" s="38"/>
      <c r="U18" s="2" t="s">
        <v>166</v>
      </c>
      <c r="V18" s="2" t="s">
        <v>237</v>
      </c>
      <c r="W18" s="517" t="s">
        <v>421</v>
      </c>
    </row>
    <row r="19" spans="1:23" x14ac:dyDescent="0.25">
      <c r="A19" s="29"/>
      <c r="B19" s="30"/>
      <c r="C19" s="31"/>
      <c r="D19" s="32"/>
      <c r="E19" s="33"/>
      <c r="F19" s="32"/>
      <c r="G19" s="32"/>
      <c r="H19" s="32"/>
      <c r="I19" s="34"/>
      <c r="J19" s="31"/>
      <c r="K19" s="35"/>
      <c r="L19" s="36"/>
      <c r="M19" s="37"/>
      <c r="N19" s="172"/>
      <c r="Q19" s="38"/>
      <c r="U19" s="2" t="s">
        <v>167</v>
      </c>
      <c r="W19" s="2" t="s">
        <v>483</v>
      </c>
    </row>
    <row r="20" spans="1:23" x14ac:dyDescent="0.25">
      <c r="A20" s="29"/>
      <c r="B20" s="30"/>
      <c r="C20" s="31"/>
      <c r="D20" s="32"/>
      <c r="E20" s="33"/>
      <c r="F20" s="32"/>
      <c r="G20" s="32"/>
      <c r="H20" s="32"/>
      <c r="I20" s="34"/>
      <c r="J20" s="31"/>
      <c r="K20" s="35"/>
      <c r="L20" s="36"/>
      <c r="M20" s="37"/>
      <c r="N20" s="172"/>
      <c r="Q20" s="38"/>
      <c r="W20" s="2" t="s">
        <v>484</v>
      </c>
    </row>
    <row r="21" spans="1:23" x14ac:dyDescent="0.25">
      <c r="A21" s="29"/>
      <c r="B21" s="30"/>
      <c r="C21" s="31"/>
      <c r="D21" s="32"/>
      <c r="E21" s="33"/>
      <c r="F21" s="32"/>
      <c r="G21" s="32"/>
      <c r="H21" s="32"/>
      <c r="I21" s="34"/>
      <c r="J21" s="31"/>
      <c r="K21" s="35"/>
      <c r="L21" s="36"/>
      <c r="M21" s="37"/>
      <c r="N21" s="172"/>
      <c r="Q21" s="38"/>
      <c r="W21" s="2" t="s">
        <v>485</v>
      </c>
    </row>
    <row r="22" spans="1:23" x14ac:dyDescent="0.25">
      <c r="A22" s="43"/>
      <c r="B22" s="44"/>
      <c r="C22" s="45"/>
      <c r="D22" s="46"/>
      <c r="E22" s="47"/>
      <c r="F22" s="46"/>
      <c r="G22" s="46"/>
      <c r="H22" s="46"/>
      <c r="I22" s="48"/>
      <c r="J22" s="45"/>
      <c r="K22" s="49"/>
      <c r="L22" s="50"/>
      <c r="M22" s="51"/>
      <c r="N22" s="277"/>
      <c r="O22" s="20"/>
      <c r="P22" s="20"/>
      <c r="Q22" s="39"/>
      <c r="U22" s="2" t="s">
        <v>335</v>
      </c>
      <c r="W22" s="2" t="s">
        <v>486</v>
      </c>
    </row>
    <row r="23" spans="1:23" ht="16.899999999999999" customHeight="1" x14ac:dyDescent="0.25">
      <c r="A23" s="688" t="str">
        <f>cal!$AK$7&amp;" "&amp;$V$16&amp;" "&amp;ROUND(cal!BK31,1)&amp;IF(cal!$Z$5=1," cm, ",IF(cal!$Z$5=2," in, "))&amp;$V$17&amp;" "&amp;ROUND(cal!BL31,1)&amp;IF(cal!$Z$5=1," cm, ",IF(cal!$Z$5=2," in, "))&amp;$V$18&amp;" "&amp;ROUND(cal!BM31,1)&amp;IF(cal!$Z$5=1," cm ",IF(cal!$Z$5=2," in "))&amp;$S23</f>
        <v>Briza 22 (230V) height 54,5 cm, width 22 cm, length 75 cm (Type 03)</v>
      </c>
      <c r="B23" s="689"/>
      <c r="C23" s="689"/>
      <c r="D23" s="689"/>
      <c r="E23" s="689"/>
      <c r="F23" s="689"/>
      <c r="G23" s="689"/>
      <c r="H23" s="689"/>
      <c r="I23" s="689"/>
      <c r="J23" s="689"/>
      <c r="K23" s="689"/>
      <c r="L23" s="689"/>
      <c r="M23" s="690" t="str">
        <f>$U$27</f>
        <v>Order code:</v>
      </c>
      <c r="N23" s="690"/>
      <c r="O23" s="690"/>
      <c r="P23" s="690"/>
      <c r="Q23" s="691"/>
      <c r="R23" s="207"/>
      <c r="S23" s="207" t="s">
        <v>227</v>
      </c>
      <c r="W23" s="2" t="s">
        <v>487</v>
      </c>
    </row>
    <row r="24" spans="1:23" x14ac:dyDescent="0.25">
      <c r="A24" s="29"/>
      <c r="B24" s="30"/>
      <c r="C24" s="31"/>
      <c r="D24" s="32"/>
      <c r="E24" s="33"/>
      <c r="F24" s="32"/>
      <c r="G24" s="32"/>
      <c r="H24" s="32"/>
      <c r="I24" s="34"/>
      <c r="J24" s="31"/>
      <c r="K24" s="35"/>
      <c r="L24" s="36"/>
      <c r="M24" s="37"/>
      <c r="N24" s="172"/>
      <c r="Q24" s="38"/>
      <c r="U24" s="2" t="s">
        <v>340</v>
      </c>
    </row>
    <row r="25" spans="1:23" x14ac:dyDescent="0.25">
      <c r="A25" s="29"/>
      <c r="B25" s="30"/>
      <c r="C25" s="31"/>
      <c r="D25" s="32"/>
      <c r="E25" s="33"/>
      <c r="F25" s="32"/>
      <c r="G25" s="32"/>
      <c r="H25" s="32"/>
      <c r="I25" s="34"/>
      <c r="J25" s="31"/>
      <c r="K25" s="35"/>
      <c r="L25" s="36"/>
      <c r="M25" s="37"/>
      <c r="N25" s="172"/>
      <c r="Q25" s="38"/>
      <c r="U25" s="2" t="s">
        <v>341</v>
      </c>
    </row>
    <row r="26" spans="1:23" x14ac:dyDescent="0.25">
      <c r="A26" s="29"/>
      <c r="B26" s="30"/>
      <c r="C26" s="31"/>
      <c r="D26" s="32"/>
      <c r="E26" s="33"/>
      <c r="F26" s="32"/>
      <c r="G26" s="32"/>
      <c r="H26" s="32"/>
      <c r="I26" s="34"/>
      <c r="J26" s="31"/>
      <c r="K26" s="35"/>
      <c r="L26" s="36"/>
      <c r="M26" s="37"/>
      <c r="N26" s="172"/>
      <c r="Q26" s="38"/>
    </row>
    <row r="27" spans="1:23" x14ac:dyDescent="0.25">
      <c r="A27" s="29"/>
      <c r="B27" s="30"/>
      <c r="C27" s="31"/>
      <c r="D27" s="32"/>
      <c r="E27" s="33"/>
      <c r="F27" s="32"/>
      <c r="G27" s="32"/>
      <c r="H27" s="32"/>
      <c r="I27" s="34"/>
      <c r="J27" s="31"/>
      <c r="K27" s="35"/>
      <c r="L27" s="36"/>
      <c r="M27" s="37"/>
      <c r="N27" s="172"/>
      <c r="Q27" s="38"/>
      <c r="U27" s="2" t="s">
        <v>353</v>
      </c>
    </row>
    <row r="28" spans="1:23" x14ac:dyDescent="0.25">
      <c r="A28" s="29"/>
      <c r="B28" s="30"/>
      <c r="C28" s="31"/>
      <c r="D28" s="32"/>
      <c r="E28" s="33"/>
      <c r="F28" s="32"/>
      <c r="G28" s="32"/>
      <c r="H28" s="32"/>
      <c r="I28" s="34"/>
      <c r="J28" s="31"/>
      <c r="K28" s="35"/>
      <c r="L28" s="36"/>
      <c r="M28" s="37"/>
      <c r="N28" s="172"/>
      <c r="Q28" s="38"/>
    </row>
    <row r="29" spans="1:23" x14ac:dyDescent="0.25">
      <c r="A29" s="29"/>
      <c r="B29" s="30"/>
      <c r="C29" s="31"/>
      <c r="D29" s="32"/>
      <c r="E29" s="33"/>
      <c r="F29" s="32"/>
      <c r="G29" s="32"/>
      <c r="H29" s="32"/>
      <c r="I29" s="34"/>
      <c r="J29" s="31"/>
      <c r="K29" s="35"/>
      <c r="L29" s="36"/>
      <c r="M29" s="37"/>
      <c r="N29" s="172"/>
      <c r="Q29" s="38"/>
    </row>
    <row r="30" spans="1:23" x14ac:dyDescent="0.25">
      <c r="A30" s="43"/>
      <c r="B30" s="44"/>
      <c r="C30" s="45"/>
      <c r="D30" s="46"/>
      <c r="E30" s="47"/>
      <c r="F30" s="46"/>
      <c r="G30" s="46"/>
      <c r="H30" s="46"/>
      <c r="I30" s="48"/>
      <c r="J30" s="45"/>
      <c r="K30" s="49"/>
      <c r="L30" s="50"/>
      <c r="M30" s="51"/>
      <c r="N30" s="277"/>
      <c r="O30" s="20"/>
      <c r="P30" s="20"/>
      <c r="Q30" s="39"/>
    </row>
    <row r="31" spans="1:23" ht="18" customHeight="1" x14ac:dyDescent="0.25">
      <c r="A31" s="688" t="str">
        <f>cal!$AK$7&amp;" "&amp;$V$16&amp;" "&amp;ROUND(cal!BK39,1)&amp;IF(cal!$Z$5=1," cm, ",IF(cal!$Z$5=2," in, "))&amp;$V$17&amp;" "&amp;ROUND(cal!BL39,1)&amp;IF(cal!$Z$5=1," cm, ",IF(cal!$Z$5=2," in, "))&amp;$V$18&amp;" "&amp;ROUND(cal!BM39,1)&amp;IF(cal!$Z$5=1," cm ",IF(cal!$Z$5=2," in "))&amp;$S31</f>
        <v>Briza 22 (230V) height 54,5 cm, width 22 cm, length 95 cm (Type 04)</v>
      </c>
      <c r="B31" s="689"/>
      <c r="C31" s="689"/>
      <c r="D31" s="689"/>
      <c r="E31" s="689"/>
      <c r="F31" s="689"/>
      <c r="G31" s="689"/>
      <c r="H31" s="689"/>
      <c r="I31" s="689"/>
      <c r="J31" s="689"/>
      <c r="K31" s="689"/>
      <c r="L31" s="689"/>
      <c r="M31" s="690" t="str">
        <f>$U$27</f>
        <v>Order code:</v>
      </c>
      <c r="N31" s="690"/>
      <c r="O31" s="690"/>
      <c r="P31" s="690"/>
      <c r="Q31" s="691"/>
      <c r="R31" s="207"/>
      <c r="S31" s="207" t="s">
        <v>228</v>
      </c>
    </row>
    <row r="32" spans="1:23" x14ac:dyDescent="0.25">
      <c r="A32" s="29"/>
      <c r="B32" s="30"/>
      <c r="C32" s="31"/>
      <c r="D32" s="32"/>
      <c r="E32" s="33"/>
      <c r="F32" s="32"/>
      <c r="G32" s="32"/>
      <c r="H32" s="32"/>
      <c r="I32" s="34"/>
      <c r="J32" s="31"/>
      <c r="K32" s="35"/>
      <c r="L32" s="36"/>
      <c r="M32" s="37"/>
      <c r="N32" s="172"/>
      <c r="Q32" s="38"/>
    </row>
    <row r="33" spans="1:19" x14ac:dyDescent="0.25">
      <c r="A33" s="29"/>
      <c r="B33" s="30"/>
      <c r="C33" s="31"/>
      <c r="D33" s="32"/>
      <c r="E33" s="33"/>
      <c r="F33" s="32"/>
      <c r="G33" s="32"/>
      <c r="H33" s="32"/>
      <c r="I33" s="34"/>
      <c r="J33" s="31"/>
      <c r="K33" s="35"/>
      <c r="L33" s="36"/>
      <c r="M33" s="37"/>
      <c r="N33" s="172"/>
      <c r="Q33" s="38"/>
    </row>
    <row r="34" spans="1:19" x14ac:dyDescent="0.25">
      <c r="A34" s="29"/>
      <c r="B34" s="30"/>
      <c r="C34" s="31"/>
      <c r="D34" s="32"/>
      <c r="E34" s="33"/>
      <c r="F34" s="32"/>
      <c r="G34" s="32"/>
      <c r="H34" s="32"/>
      <c r="I34" s="34"/>
      <c r="J34" s="31"/>
      <c r="K34" s="35"/>
      <c r="L34" s="36"/>
      <c r="M34" s="37"/>
      <c r="N34" s="172"/>
      <c r="Q34" s="38"/>
    </row>
    <row r="35" spans="1:19" x14ac:dyDescent="0.25">
      <c r="A35" s="29"/>
      <c r="B35" s="30"/>
      <c r="C35" s="31"/>
      <c r="D35" s="32"/>
      <c r="E35" s="33"/>
      <c r="F35" s="32"/>
      <c r="G35" s="32"/>
      <c r="H35" s="32"/>
      <c r="I35" s="34"/>
      <c r="J35" s="31"/>
      <c r="K35" s="35"/>
      <c r="L35" s="36"/>
      <c r="M35" s="37"/>
      <c r="N35" s="172"/>
      <c r="Q35" s="38"/>
    </row>
    <row r="36" spans="1:19" x14ac:dyDescent="0.25">
      <c r="A36" s="29"/>
      <c r="B36" s="30"/>
      <c r="C36" s="31"/>
      <c r="D36" s="32"/>
      <c r="E36" s="33"/>
      <c r="F36" s="32"/>
      <c r="G36" s="32"/>
      <c r="H36" s="32"/>
      <c r="I36" s="34"/>
      <c r="J36" s="31"/>
      <c r="K36" s="35"/>
      <c r="L36" s="36"/>
      <c r="M36" s="37"/>
      <c r="N36" s="172"/>
      <c r="Q36" s="38"/>
    </row>
    <row r="37" spans="1:19" x14ac:dyDescent="0.25">
      <c r="A37" s="29"/>
      <c r="B37" s="30"/>
      <c r="C37" s="31"/>
      <c r="D37" s="32"/>
      <c r="E37" s="33"/>
      <c r="F37" s="32"/>
      <c r="G37" s="32"/>
      <c r="H37" s="32"/>
      <c r="I37" s="34"/>
      <c r="J37" s="31"/>
      <c r="K37" s="35"/>
      <c r="L37" s="36"/>
      <c r="M37" s="37"/>
      <c r="N37" s="172"/>
      <c r="Q37" s="38"/>
    </row>
    <row r="38" spans="1:19" x14ac:dyDescent="0.25">
      <c r="A38" s="43"/>
      <c r="B38" s="44"/>
      <c r="C38" s="45"/>
      <c r="D38" s="46"/>
      <c r="E38" s="47"/>
      <c r="F38" s="46"/>
      <c r="G38" s="46"/>
      <c r="H38" s="46"/>
      <c r="I38" s="48"/>
      <c r="J38" s="45"/>
      <c r="K38" s="49"/>
      <c r="L38" s="50"/>
      <c r="M38" s="51"/>
      <c r="N38" s="277"/>
      <c r="O38" s="20"/>
      <c r="P38" s="20"/>
      <c r="Q38" s="39"/>
    </row>
    <row r="39" spans="1:19" ht="16.899999999999999" customHeight="1" x14ac:dyDescent="0.25">
      <c r="A39" s="688" t="str">
        <f>cal!$AK$7&amp;" "&amp;$V$16&amp;" "&amp;ROUND(cal!BK47,1)&amp;IF(cal!$Z$5=1," cm, ",IF(cal!$Z$5=2," in, "))&amp;$V$17&amp;" "&amp;ROUND(cal!BL47,1)&amp;IF(cal!$Z$5=1," cm, ",IF(cal!$Z$5=2," in, "))&amp;$V$18&amp;" "&amp;ROUND(cal!BM47,1)&amp;IF(cal!$Z$5=1," cm ",IF(cal!$Z$5=2," in "))&amp;$S39</f>
        <v>Briza 22 (230V) height 54,5 cm, width 22 cm, length 125 cm (Type 06)</v>
      </c>
      <c r="B39" s="689"/>
      <c r="C39" s="689"/>
      <c r="D39" s="689"/>
      <c r="E39" s="689"/>
      <c r="F39" s="689"/>
      <c r="G39" s="689"/>
      <c r="H39" s="689"/>
      <c r="I39" s="689"/>
      <c r="J39" s="689"/>
      <c r="K39" s="689"/>
      <c r="L39" s="689"/>
      <c r="M39" s="690" t="str">
        <f>$U$27</f>
        <v>Order code:</v>
      </c>
      <c r="N39" s="690"/>
      <c r="O39" s="690"/>
      <c r="P39" s="690"/>
      <c r="Q39" s="691"/>
      <c r="R39" s="207"/>
      <c r="S39" s="207" t="s">
        <v>229</v>
      </c>
    </row>
    <row r="40" spans="1:19" x14ac:dyDescent="0.25">
      <c r="A40" s="29"/>
      <c r="B40" s="30"/>
      <c r="C40" s="31"/>
      <c r="D40" s="32"/>
      <c r="E40" s="33"/>
      <c r="F40" s="32"/>
      <c r="G40" s="32"/>
      <c r="H40" s="32"/>
      <c r="I40" s="34"/>
      <c r="J40" s="31"/>
      <c r="K40" s="35"/>
      <c r="L40" s="36"/>
      <c r="M40" s="37"/>
      <c r="N40" s="172"/>
      <c r="Q40" s="38"/>
    </row>
    <row r="41" spans="1:19" x14ac:dyDescent="0.25">
      <c r="A41" s="29"/>
      <c r="B41" s="30"/>
      <c r="C41" s="31"/>
      <c r="D41" s="32"/>
      <c r="E41" s="33"/>
      <c r="F41" s="32"/>
      <c r="G41" s="32"/>
      <c r="H41" s="32"/>
      <c r="I41" s="34"/>
      <c r="J41" s="31"/>
      <c r="K41" s="35"/>
      <c r="L41" s="36"/>
      <c r="M41" s="37"/>
      <c r="N41" s="172"/>
      <c r="Q41" s="38"/>
    </row>
    <row r="42" spans="1:19" x14ac:dyDescent="0.25">
      <c r="A42" s="29"/>
      <c r="B42" s="30"/>
      <c r="C42" s="31"/>
      <c r="D42" s="32"/>
      <c r="E42" s="33"/>
      <c r="F42" s="32"/>
      <c r="G42" s="32"/>
      <c r="H42" s="32"/>
      <c r="I42" s="34"/>
      <c r="J42" s="31"/>
      <c r="K42" s="35"/>
      <c r="L42" s="36"/>
      <c r="M42" s="37"/>
      <c r="N42" s="172"/>
      <c r="Q42" s="38"/>
    </row>
    <row r="43" spans="1:19" x14ac:dyDescent="0.25">
      <c r="A43" s="29"/>
      <c r="B43" s="30"/>
      <c r="C43" s="31"/>
      <c r="D43" s="32"/>
      <c r="E43" s="33"/>
      <c r="F43" s="32"/>
      <c r="G43" s="32"/>
      <c r="H43" s="32"/>
      <c r="I43" s="34"/>
      <c r="J43" s="31"/>
      <c r="K43" s="35"/>
      <c r="L43" s="36"/>
      <c r="M43" s="37"/>
      <c r="N43" s="172"/>
      <c r="Q43" s="38"/>
    </row>
    <row r="44" spans="1:19" x14ac:dyDescent="0.25">
      <c r="A44" s="29"/>
      <c r="B44" s="30"/>
      <c r="C44" s="31"/>
      <c r="D44" s="32"/>
      <c r="E44" s="33"/>
      <c r="F44" s="32"/>
      <c r="G44" s="32"/>
      <c r="H44" s="32"/>
      <c r="I44" s="34"/>
      <c r="J44" s="31"/>
      <c r="K44" s="35"/>
      <c r="L44" s="36"/>
      <c r="M44" s="37"/>
      <c r="N44" s="172"/>
      <c r="Q44" s="38"/>
    </row>
    <row r="45" spans="1:19" x14ac:dyDescent="0.25">
      <c r="A45" s="29"/>
      <c r="B45" s="30"/>
      <c r="C45" s="31"/>
      <c r="D45" s="32"/>
      <c r="E45" s="33"/>
      <c r="F45" s="32"/>
      <c r="G45" s="32"/>
      <c r="H45" s="32"/>
      <c r="I45" s="34"/>
      <c r="J45" s="31"/>
      <c r="K45" s="35"/>
      <c r="L45" s="36"/>
      <c r="M45" s="37"/>
      <c r="N45" s="172"/>
      <c r="Q45" s="38"/>
    </row>
    <row r="46" spans="1:19" x14ac:dyDescent="0.25">
      <c r="A46" s="43"/>
      <c r="B46" s="44"/>
      <c r="C46" s="45"/>
      <c r="D46" s="46"/>
      <c r="E46" s="47"/>
      <c r="F46" s="46"/>
      <c r="G46" s="46"/>
      <c r="H46" s="46"/>
      <c r="I46" s="48"/>
      <c r="J46" s="45"/>
      <c r="K46" s="49"/>
      <c r="L46" s="50"/>
      <c r="M46" s="51"/>
      <c r="N46" s="277"/>
      <c r="O46" s="20"/>
      <c r="P46" s="20"/>
      <c r="Q46" s="39"/>
    </row>
    <row r="47" spans="1:19" x14ac:dyDescent="0.25">
      <c r="A47" s="688" t="str">
        <f>cal!$AK$7&amp;" "&amp;$V$16&amp;" "&amp;ROUND(cal!BK55,1)&amp;IF(cal!$Z$5=1," cm, ",IF(cal!$Z$5=2," in, "))&amp;$V$17&amp;" "&amp;ROUND(cal!BL55,1)&amp;IF(cal!$Z$5=1," cm, ",IF(cal!$Z$5=2," in, "))&amp;$V$18&amp;" "&amp;ROUND(cal!BM55,1)&amp;IF(cal!$Z$5=1," cm ",IF(cal!$Z$5=2," in "))&amp;$S47</f>
        <v>Briza 22 (230V) height 54,5 cm, width 22 cm, length 155 cm (Type 08)</v>
      </c>
      <c r="B47" s="689"/>
      <c r="C47" s="689"/>
      <c r="D47" s="689"/>
      <c r="E47" s="689"/>
      <c r="F47" s="689"/>
      <c r="G47" s="689"/>
      <c r="H47" s="689"/>
      <c r="I47" s="689"/>
      <c r="J47" s="689"/>
      <c r="K47" s="689"/>
      <c r="L47" s="689"/>
      <c r="M47" s="690" t="str">
        <f>$U$27</f>
        <v>Order code:</v>
      </c>
      <c r="N47" s="690"/>
      <c r="O47" s="690"/>
      <c r="P47" s="690"/>
      <c r="Q47" s="691"/>
      <c r="R47" s="207"/>
      <c r="S47" s="207" t="s">
        <v>230</v>
      </c>
    </row>
    <row r="48" spans="1:19" x14ac:dyDescent="0.25">
      <c r="A48" s="29"/>
      <c r="B48" s="30"/>
      <c r="C48" s="31"/>
      <c r="D48" s="32"/>
      <c r="E48" s="33"/>
      <c r="F48" s="32"/>
      <c r="G48" s="32"/>
      <c r="H48" s="32"/>
      <c r="I48" s="34"/>
      <c r="J48" s="31"/>
      <c r="K48" s="35"/>
      <c r="L48" s="36"/>
      <c r="M48" s="37"/>
      <c r="N48" s="172"/>
      <c r="Q48" s="38"/>
    </row>
    <row r="49" spans="1:19" x14ac:dyDescent="0.25">
      <c r="A49" s="29"/>
      <c r="B49" s="30"/>
      <c r="C49" s="31"/>
      <c r="D49" s="32"/>
      <c r="E49" s="33"/>
      <c r="F49" s="32"/>
      <c r="G49" s="32"/>
      <c r="H49" s="32"/>
      <c r="I49" s="34"/>
      <c r="J49" s="31"/>
      <c r="K49" s="35"/>
      <c r="L49" s="36"/>
      <c r="M49" s="37"/>
      <c r="N49" s="172"/>
      <c r="Q49" s="38"/>
    </row>
    <row r="50" spans="1:19" x14ac:dyDescent="0.25">
      <c r="A50" s="29"/>
      <c r="B50" s="30"/>
      <c r="C50" s="31"/>
      <c r="D50" s="32"/>
      <c r="E50" s="33"/>
      <c r="F50" s="32"/>
      <c r="G50" s="32"/>
      <c r="H50" s="32"/>
      <c r="I50" s="34"/>
      <c r="J50" s="31"/>
      <c r="K50" s="35"/>
      <c r="L50" s="36"/>
      <c r="M50" s="37"/>
      <c r="N50" s="172"/>
      <c r="Q50" s="38"/>
    </row>
    <row r="51" spans="1:19" x14ac:dyDescent="0.25">
      <c r="A51" s="29"/>
      <c r="B51" s="30"/>
      <c r="C51" s="31"/>
      <c r="D51" s="32"/>
      <c r="E51" s="33"/>
      <c r="F51" s="32"/>
      <c r="G51" s="32"/>
      <c r="H51" s="32"/>
      <c r="I51" s="34"/>
      <c r="J51" s="31"/>
      <c r="K51" s="35"/>
      <c r="L51" s="36"/>
      <c r="M51" s="37"/>
      <c r="N51" s="172"/>
      <c r="Q51" s="38"/>
    </row>
    <row r="52" spans="1:19" x14ac:dyDescent="0.25">
      <c r="A52" s="29"/>
      <c r="B52" s="30"/>
      <c r="C52" s="31"/>
      <c r="D52" s="32"/>
      <c r="E52" s="33"/>
      <c r="F52" s="32"/>
      <c r="G52" s="32"/>
      <c r="H52" s="32"/>
      <c r="I52" s="34"/>
      <c r="J52" s="31"/>
      <c r="K52" s="35"/>
      <c r="L52" s="36"/>
      <c r="M52" s="37"/>
      <c r="N52" s="172"/>
      <c r="Q52" s="38"/>
    </row>
    <row r="53" spans="1:19" x14ac:dyDescent="0.25">
      <c r="A53" s="29"/>
      <c r="B53" s="30"/>
      <c r="C53" s="31"/>
      <c r="D53" s="32"/>
      <c r="E53" s="33"/>
      <c r="F53" s="32"/>
      <c r="G53" s="32"/>
      <c r="H53" s="32"/>
      <c r="I53" s="34"/>
      <c r="J53" s="31"/>
      <c r="K53" s="35"/>
      <c r="L53" s="36"/>
      <c r="M53" s="37"/>
      <c r="N53" s="172"/>
      <c r="Q53" s="38"/>
    </row>
    <row r="54" spans="1:19" x14ac:dyDescent="0.25">
      <c r="A54" s="43"/>
      <c r="B54" s="44"/>
      <c r="C54" s="45"/>
      <c r="D54" s="46"/>
      <c r="E54" s="47"/>
      <c r="F54" s="46"/>
      <c r="G54" s="46"/>
      <c r="H54" s="46"/>
      <c r="I54" s="48"/>
      <c r="J54" s="45"/>
      <c r="K54" s="49"/>
      <c r="L54" s="50"/>
      <c r="M54" s="51"/>
      <c r="N54" s="277"/>
      <c r="O54" s="20"/>
      <c r="P54" s="20"/>
      <c r="Q54" s="39"/>
    </row>
    <row r="55" spans="1:19" x14ac:dyDescent="0.25">
      <c r="A55" s="688" t="str">
        <f>cal!$AK$7&amp;" "&amp;$V$16&amp;" "&amp;ROUND(cal!BK63,1)&amp;IF(cal!$Z$5=1," cm, ",IF(cal!$Z$5=2," in, "))&amp;$V$17&amp;" "&amp;ROUND(cal!BL63,1)&amp;IF(cal!$Z$5=1," cm, ",IF(cal!$Z$5=2," in, "))&amp;$V$18&amp;" "&amp;ROUND(cal!BM63,1)&amp;IF(cal!$Z$5=1," cm ",IF(cal!$Z$5=2," in "))&amp;$S55</f>
        <v>Briza 22 (230V) height 54,5 cm, width 22 cm, length 190 cm (Type 10)</v>
      </c>
      <c r="B55" s="689"/>
      <c r="C55" s="689"/>
      <c r="D55" s="689"/>
      <c r="E55" s="689"/>
      <c r="F55" s="689"/>
      <c r="G55" s="689"/>
      <c r="H55" s="689"/>
      <c r="I55" s="689"/>
      <c r="J55" s="689"/>
      <c r="K55" s="689"/>
      <c r="L55" s="689"/>
      <c r="M55" s="690" t="str">
        <f>$U$27</f>
        <v>Order code:</v>
      </c>
      <c r="N55" s="690"/>
      <c r="O55" s="690"/>
      <c r="P55" s="690"/>
      <c r="Q55" s="691"/>
      <c r="R55" s="207"/>
      <c r="S55" s="207" t="s">
        <v>231</v>
      </c>
    </row>
    <row r="56" spans="1:19" x14ac:dyDescent="0.25">
      <c r="A56" s="29"/>
      <c r="B56" s="30"/>
      <c r="C56" s="31"/>
      <c r="D56" s="32"/>
      <c r="E56" s="33"/>
      <c r="F56" s="32"/>
      <c r="G56" s="32"/>
      <c r="H56" s="32"/>
      <c r="I56" s="34"/>
      <c r="J56" s="31"/>
      <c r="K56" s="35"/>
      <c r="L56" s="36"/>
      <c r="M56" s="37"/>
      <c r="N56" s="172"/>
      <c r="Q56" s="38"/>
    </row>
    <row r="57" spans="1:19" x14ac:dyDescent="0.25">
      <c r="A57" s="29"/>
      <c r="B57" s="30"/>
      <c r="C57" s="31"/>
      <c r="D57" s="32"/>
      <c r="E57" s="33"/>
      <c r="F57" s="32"/>
      <c r="G57" s="32"/>
      <c r="H57" s="32"/>
      <c r="I57" s="34"/>
      <c r="J57" s="31"/>
      <c r="K57" s="35"/>
      <c r="L57" s="36"/>
      <c r="M57" s="37"/>
      <c r="N57" s="172"/>
      <c r="Q57" s="38"/>
    </row>
    <row r="58" spans="1:19" x14ac:dyDescent="0.25">
      <c r="A58" s="29"/>
      <c r="B58" s="30"/>
      <c r="C58" s="31"/>
      <c r="D58" s="32"/>
      <c r="E58" s="33"/>
      <c r="F58" s="32"/>
      <c r="G58" s="32"/>
      <c r="H58" s="32"/>
      <c r="I58" s="34"/>
      <c r="J58" s="31"/>
      <c r="K58" s="35"/>
      <c r="L58" s="36"/>
      <c r="M58" s="37"/>
      <c r="N58" s="172"/>
      <c r="Q58" s="38"/>
    </row>
    <row r="59" spans="1:19" x14ac:dyDescent="0.25">
      <c r="A59" s="29"/>
      <c r="B59" s="30"/>
      <c r="C59" s="31"/>
      <c r="D59" s="32"/>
      <c r="E59" s="33"/>
      <c r="F59" s="32"/>
      <c r="G59" s="32"/>
      <c r="H59" s="32"/>
      <c r="I59" s="34"/>
      <c r="J59" s="31"/>
      <c r="K59" s="35"/>
      <c r="L59" s="36"/>
      <c r="M59" s="37"/>
      <c r="N59" s="172"/>
      <c r="Q59" s="38"/>
    </row>
    <row r="60" spans="1:19" x14ac:dyDescent="0.25">
      <c r="A60" s="29"/>
      <c r="B60" s="30"/>
      <c r="C60" s="31"/>
      <c r="D60" s="32"/>
      <c r="E60" s="33"/>
      <c r="F60" s="32"/>
      <c r="G60" s="32"/>
      <c r="H60" s="32"/>
      <c r="I60" s="34"/>
      <c r="J60" s="31"/>
      <c r="K60" s="35"/>
      <c r="L60" s="36"/>
      <c r="M60" s="37"/>
      <c r="N60" s="172"/>
      <c r="Q60" s="38"/>
    </row>
    <row r="61" spans="1:19" x14ac:dyDescent="0.25">
      <c r="A61" s="29"/>
      <c r="B61" s="30"/>
      <c r="C61" s="31"/>
      <c r="D61" s="32"/>
      <c r="E61" s="33"/>
      <c r="F61" s="32"/>
      <c r="G61" s="32"/>
      <c r="H61" s="32"/>
      <c r="I61" s="34"/>
      <c r="J61" s="31"/>
      <c r="K61" s="35"/>
      <c r="L61" s="36"/>
      <c r="M61" s="37"/>
      <c r="N61" s="172"/>
      <c r="Q61" s="38"/>
    </row>
    <row r="62" spans="1:19" x14ac:dyDescent="0.25">
      <c r="A62" s="43"/>
      <c r="B62" s="44"/>
      <c r="C62" s="45"/>
      <c r="D62" s="46"/>
      <c r="E62" s="47"/>
      <c r="F62" s="46"/>
      <c r="G62" s="46"/>
      <c r="H62" s="46"/>
      <c r="I62" s="48"/>
      <c r="J62" s="45"/>
      <c r="K62" s="49"/>
      <c r="L62" s="50"/>
      <c r="M62" s="51"/>
      <c r="N62" s="277"/>
      <c r="O62" s="20"/>
      <c r="P62" s="20"/>
      <c r="Q62" s="39"/>
    </row>
    <row r="63" spans="1:19" ht="9.4" customHeight="1" x14ac:dyDescent="0.25">
      <c r="A63" s="40" t="s">
        <v>258</v>
      </c>
      <c r="L63" s="41"/>
      <c r="M63" s="42"/>
      <c r="N63" s="42"/>
      <c r="Q63" s="42">
        <f>cal!Q63</f>
        <v>0</v>
      </c>
      <c r="R63" s="42"/>
      <c r="S63" s="42"/>
    </row>
    <row r="64" spans="1:19" ht="9.4" customHeight="1" x14ac:dyDescent="0.25">
      <c r="A64" s="40" t="s">
        <v>22</v>
      </c>
    </row>
    <row r="65" spans="1:1" ht="9.4" customHeight="1" x14ac:dyDescent="0.25">
      <c r="A65" s="40" t="s">
        <v>23</v>
      </c>
    </row>
    <row r="66" spans="1:1" ht="9.4" customHeight="1" x14ac:dyDescent="0.25">
      <c r="A66" s="40" t="s">
        <v>289</v>
      </c>
    </row>
  </sheetData>
  <sheetProtection selectLockedCells="1"/>
  <mergeCells count="26">
    <mergeCell ref="A47:L47"/>
    <mergeCell ref="M47:Q47"/>
    <mergeCell ref="A55:L55"/>
    <mergeCell ref="M55:Q55"/>
    <mergeCell ref="A23:L23"/>
    <mergeCell ref="M23:Q23"/>
    <mergeCell ref="A31:L31"/>
    <mergeCell ref="M31:Q31"/>
    <mergeCell ref="A39:L39"/>
    <mergeCell ref="M39:Q39"/>
    <mergeCell ref="L10:M10"/>
    <mergeCell ref="L9:M9"/>
    <mergeCell ref="Q8:R10"/>
    <mergeCell ref="A15:L15"/>
    <mergeCell ref="M15:Q15"/>
    <mergeCell ref="A8:C8"/>
    <mergeCell ref="F8:I8"/>
    <mergeCell ref="A9:C9"/>
    <mergeCell ref="F9:I9"/>
    <mergeCell ref="F10:I10"/>
    <mergeCell ref="G4:J4"/>
    <mergeCell ref="G3:J3"/>
    <mergeCell ref="L7:M7"/>
    <mergeCell ref="L6:M6"/>
    <mergeCell ref="S7:T7"/>
    <mergeCell ref="Q7:R7"/>
  </mergeCells>
  <dataValidations count="7">
    <dataValidation type="whole" errorStyle="information" allowBlank="1" showErrorMessage="1" error="Eingabe außerhalb des gültigen Bereichs." prompt="20°C bis 35°C" sqref="J10" xr:uid="{00000000-0002-0000-0300-000000000000}">
      <formula1>20</formula1>
      <formula2>35</formula2>
    </dataValidation>
    <dataValidation type="whole" errorStyle="information" allowBlank="1" showErrorMessage="1" error="Eingabe außerhalb des gültigen Bereichs." prompt="Eingabe zwischen 16°C bis 30°C" sqref="D10" xr:uid="{00000000-0002-0000-0300-000001000000}">
      <formula1>16</formula1>
      <formula2>30</formula2>
    </dataValidation>
    <dataValidation type="whole" errorStyle="information" allowBlank="1" showErrorMessage="1" error="Eingabe außerhalb des gültigen Bereichs." prompt="Eingabe zwischen Vorlauftemp. und Raumtemp." sqref="D9" xr:uid="{00000000-0002-0000-0300-000002000000}">
      <formula1>D10</formula1>
      <formula2>D8</formula2>
    </dataValidation>
    <dataValidation type="whole" errorStyle="information" allowBlank="1" showErrorMessage="1" error="Temperatur außerhalb des gütligen Bereichs." prompt="Eingabe zwischen 30°C bis 95°C" sqref="D8" xr:uid="{00000000-0002-0000-0300-000003000000}">
      <formula1>30</formula1>
      <formula2>95</formula2>
    </dataValidation>
    <dataValidation type="whole" errorStyle="information" allowBlank="1" showErrorMessage="1" error="Eingabe außerhalb des gültigen Bereichs." prompt="Eingabe zwischen Vorlauftemp. und Raumtemp." sqref="J9" xr:uid="{00000000-0002-0000-0300-000004000000}">
      <formula1>J8</formula1>
      <formula2>J10</formula2>
    </dataValidation>
    <dataValidation type="whole" errorStyle="information" allowBlank="1" showErrorMessage="1" error="Eingabe außerhalb des gültigen Bereichs." prompt="Eingabe zwischen 5°C bis 20°C" sqref="J8" xr:uid="{00000000-0002-0000-0300-000005000000}">
      <formula1>5</formula1>
      <formula2>20</formula2>
    </dataValidation>
    <dataValidation type="decimal" errorStyle="information" allowBlank="1" showErrorMessage="1" error="Eingabe außerhalb des gültigen Bereichs." prompt="20°C bis 35°C" sqref="J11" xr:uid="{00000000-0002-0000-0300-000006000000}">
      <formula1>0.01</formula1>
      <formula2>1</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DE"/>
  <dimension ref="A1:W66"/>
  <sheetViews>
    <sheetView workbookViewId="0">
      <selection activeCell="K2" sqref="K2:M2"/>
    </sheetView>
  </sheetViews>
  <sheetFormatPr defaultColWidth="11.42578125" defaultRowHeight="15" x14ac:dyDescent="0.25"/>
  <cols>
    <col min="1" max="1" width="7" style="2" customWidth="1"/>
    <col min="2" max="2" width="6.140625" style="2" customWidth="1"/>
    <col min="3" max="3" width="7" style="2" customWidth="1"/>
    <col min="4" max="4" width="6.7109375" style="2" customWidth="1"/>
    <col min="5" max="19" width="7" style="2" customWidth="1"/>
    <col min="20" max="16384" width="11.42578125" style="2"/>
  </cols>
  <sheetData>
    <row r="1" spans="1:23" x14ac:dyDescent="0.25">
      <c r="A1" s="1"/>
    </row>
    <row r="2" spans="1:23" x14ac:dyDescent="0.25">
      <c r="A2" s="3" t="s">
        <v>1</v>
      </c>
      <c r="B2" s="4"/>
    </row>
    <row r="3" spans="1:23" x14ac:dyDescent="0.25">
      <c r="A3" s="1"/>
      <c r="G3" s="684" t="s">
        <v>173</v>
      </c>
      <c r="H3" s="622"/>
      <c r="I3" s="622"/>
      <c r="J3" s="623"/>
    </row>
    <row r="4" spans="1:23" x14ac:dyDescent="0.25">
      <c r="A4" s="5" t="s">
        <v>3</v>
      </c>
      <c r="G4" s="684" t="s">
        <v>114</v>
      </c>
      <c r="H4" s="622">
        <v>0</v>
      </c>
      <c r="I4" s="622">
        <v>0</v>
      </c>
      <c r="J4" s="623">
        <v>0</v>
      </c>
    </row>
    <row r="5" spans="1:23" ht="6" customHeight="1" thickBot="1" x14ac:dyDescent="0.3">
      <c r="A5" s="6"/>
      <c r="B5" s="7"/>
      <c r="C5" s="7"/>
      <c r="D5" s="7"/>
      <c r="E5" s="7"/>
      <c r="F5" s="7"/>
      <c r="G5" s="7"/>
      <c r="H5" s="7"/>
      <c r="I5" s="7"/>
      <c r="J5" s="7"/>
      <c r="K5" s="7"/>
      <c r="L5" s="7"/>
      <c r="M5" s="7"/>
      <c r="N5" s="7"/>
      <c r="O5" s="7"/>
      <c r="P5" s="7"/>
      <c r="Q5" s="8"/>
      <c r="R5" s="10"/>
      <c r="S5" s="10"/>
    </row>
    <row r="6" spans="1:23" ht="15.75" thickBot="1" x14ac:dyDescent="0.3">
      <c r="A6" s="9" t="s">
        <v>2</v>
      </c>
      <c r="B6" s="10"/>
      <c r="C6" s="10"/>
      <c r="D6" s="10"/>
      <c r="E6" s="10"/>
      <c r="F6" s="10"/>
      <c r="G6" s="10"/>
      <c r="H6" s="10"/>
      <c r="I6" s="10"/>
      <c r="J6" s="10"/>
      <c r="K6" s="10"/>
      <c r="L6" s="686" t="s">
        <v>190</v>
      </c>
      <c r="M6" s="687"/>
      <c r="N6" s="274"/>
      <c r="O6" s="10"/>
      <c r="P6" s="10"/>
      <c r="Q6" s="11"/>
      <c r="R6" s="10"/>
      <c r="S6" s="10"/>
    </row>
    <row r="7" spans="1:23" ht="15.75" thickBot="1" x14ac:dyDescent="0.3">
      <c r="A7" s="9" t="s">
        <v>0</v>
      </c>
      <c r="B7" s="10"/>
      <c r="C7" s="10"/>
      <c r="D7" s="10"/>
      <c r="E7" s="10"/>
      <c r="F7" s="12" t="s">
        <v>8</v>
      </c>
      <c r="G7" s="12"/>
      <c r="H7" s="12"/>
      <c r="I7" s="10"/>
      <c r="J7" s="10"/>
      <c r="K7" s="10"/>
      <c r="L7" s="636"/>
      <c r="M7" s="637"/>
      <c r="N7" s="275"/>
      <c r="O7" s="10"/>
      <c r="P7" s="10"/>
      <c r="Q7" s="552" t="s">
        <v>197</v>
      </c>
      <c r="R7" s="553"/>
      <c r="S7" s="552" t="s">
        <v>309</v>
      </c>
      <c r="T7" s="553"/>
    </row>
    <row r="8" spans="1:23" ht="15.75" thickBot="1" x14ac:dyDescent="0.3">
      <c r="A8" s="685" t="str">
        <f>"Vorlauf wasser"</f>
        <v>Vorlauf wasser</v>
      </c>
      <c r="B8" s="613"/>
      <c r="C8" s="613"/>
      <c r="D8" s="13">
        <f>cal!E10</f>
        <v>65</v>
      </c>
      <c r="E8" s="52" t="str">
        <f>IF(cal!$Z$5=1,"°C",IF(cal!$Z$5=2,"°F"))</f>
        <v>°C</v>
      </c>
      <c r="F8" s="613" t="str">
        <f>A8</f>
        <v>Vorlauf wasser</v>
      </c>
      <c r="G8" s="613"/>
      <c r="H8" s="613"/>
      <c r="I8" s="613"/>
      <c r="J8" s="13">
        <f>cal!K10</f>
        <v>16</v>
      </c>
      <c r="K8" s="10" t="str">
        <f>E8</f>
        <v>°C</v>
      </c>
      <c r="L8" s="10"/>
      <c r="M8" s="10"/>
      <c r="N8" s="10"/>
      <c r="O8" s="10"/>
      <c r="P8" s="10"/>
      <c r="Q8" s="643"/>
      <c r="R8" s="644"/>
      <c r="S8" s="10"/>
    </row>
    <row r="9" spans="1:23" ht="15.75" thickBot="1" x14ac:dyDescent="0.3">
      <c r="A9" s="685" t="str">
        <f>"Rücklauf wasser"</f>
        <v>Rücklauf wasser</v>
      </c>
      <c r="B9" s="613"/>
      <c r="C9" s="613"/>
      <c r="D9" s="13">
        <f>cal!E11</f>
        <v>55</v>
      </c>
      <c r="E9" s="52" t="str">
        <f>E8</f>
        <v>°C</v>
      </c>
      <c r="F9" s="613" t="str">
        <f>A9</f>
        <v>Rücklauf wasser</v>
      </c>
      <c r="G9" s="613"/>
      <c r="H9" s="613"/>
      <c r="I9" s="613"/>
      <c r="J9" s="13">
        <f>cal!K11</f>
        <v>18</v>
      </c>
      <c r="K9" s="10" t="str">
        <f>E8</f>
        <v>°C</v>
      </c>
      <c r="L9" s="686" t="s">
        <v>189</v>
      </c>
      <c r="M9" s="687"/>
      <c r="N9" s="274"/>
      <c r="O9" s="10"/>
      <c r="P9" s="10"/>
      <c r="Q9" s="645"/>
      <c r="R9" s="646"/>
      <c r="S9" s="10"/>
    </row>
    <row r="10" spans="1:23" ht="15.75" thickBot="1" x14ac:dyDescent="0.3">
      <c r="A10" s="685" t="str">
        <f>"Raum (trocken)"</f>
        <v>Raum (trocken)</v>
      </c>
      <c r="B10" s="613"/>
      <c r="C10" s="613"/>
      <c r="D10" s="13">
        <f>cal!E12</f>
        <v>20</v>
      </c>
      <c r="E10" s="52" t="str">
        <f>E8</f>
        <v>°C</v>
      </c>
      <c r="F10" s="613" t="str">
        <f>A10</f>
        <v>Raum (trocken)</v>
      </c>
      <c r="G10" s="613"/>
      <c r="H10" s="613"/>
      <c r="I10" s="613"/>
      <c r="J10" s="13">
        <f>cal!K12</f>
        <v>27</v>
      </c>
      <c r="K10" s="10" t="str">
        <f>E8</f>
        <v>°C</v>
      </c>
      <c r="L10" s="641"/>
      <c r="M10" s="642"/>
      <c r="N10" s="276"/>
      <c r="O10" s="10"/>
      <c r="P10" s="10"/>
      <c r="Q10" s="645"/>
      <c r="R10" s="646"/>
      <c r="S10" s="10"/>
      <c r="U10" s="2" t="s">
        <v>325</v>
      </c>
    </row>
    <row r="11" spans="1:23" x14ac:dyDescent="0.25">
      <c r="A11" s="14" t="s">
        <v>200</v>
      </c>
      <c r="B11" s="10"/>
      <c r="C11" s="10"/>
      <c r="D11" s="10"/>
      <c r="E11" s="10"/>
      <c r="F11" s="10" t="s">
        <v>143</v>
      </c>
      <c r="G11" s="10"/>
      <c r="H11" s="10"/>
      <c r="I11" s="10"/>
      <c r="J11" s="15">
        <f>cal!K14</f>
        <v>0.5</v>
      </c>
      <c r="K11" s="10"/>
      <c r="L11" s="10"/>
      <c r="M11" s="10"/>
      <c r="N11" s="10"/>
      <c r="O11" s="10"/>
      <c r="P11" s="10"/>
      <c r="Q11" s="11"/>
      <c r="R11" s="10"/>
      <c r="S11" s="10"/>
      <c r="U11" s="2" t="s">
        <v>326</v>
      </c>
    </row>
    <row r="12" spans="1:23" ht="6" customHeight="1" x14ac:dyDescent="0.25">
      <c r="A12" s="16"/>
      <c r="B12" s="17"/>
      <c r="C12" s="17"/>
      <c r="D12" s="17"/>
      <c r="E12" s="18"/>
      <c r="F12" s="18"/>
      <c r="G12" s="18"/>
      <c r="H12" s="18"/>
      <c r="I12" s="18"/>
      <c r="J12" s="18"/>
      <c r="K12" s="18"/>
      <c r="L12" s="18"/>
      <c r="M12" s="18"/>
      <c r="N12" s="18"/>
      <c r="O12" s="18"/>
      <c r="P12" s="18"/>
      <c r="Q12" s="19"/>
      <c r="R12" s="10"/>
      <c r="S12" s="10"/>
    </row>
    <row r="13" spans="1:23" x14ac:dyDescent="0.25">
      <c r="A13" s="20"/>
      <c r="B13" s="20"/>
      <c r="C13" s="20"/>
      <c r="D13" s="20"/>
      <c r="E13" s="20"/>
      <c r="F13" s="20"/>
      <c r="G13" s="20"/>
      <c r="H13" s="20"/>
      <c r="I13" s="20"/>
      <c r="J13" s="20"/>
      <c r="K13" s="20"/>
      <c r="L13" s="20"/>
      <c r="M13" s="20"/>
    </row>
    <row r="14" spans="1:23" s="28" customFormat="1" ht="95.45" customHeight="1" x14ac:dyDescent="0.25">
      <c r="A14" s="21" t="s">
        <v>373</v>
      </c>
      <c r="B14" s="22" t="s">
        <v>374</v>
      </c>
      <c r="C14" s="21" t="str">
        <f>CONCATENATE("Wärmeleistung * ",ROUND(D8,0),"/",ROUND(D9,0),"/",ROUND(D10,0)," ["&amp;IF(cal!$Z$5=1,"W",IF(cal!$Z$5=2,"Btu/h"))&amp;"]")</f>
        <v>Wärmeleistung * 65/55/20 [W]</v>
      </c>
      <c r="D14" s="23" t="str">
        <f>"Heizmittelstrom ["&amp;IF(cal!$Z$5=1,"l/h",IF(cal!$Z$5=2,"GPM"))&amp;"]"</f>
        <v>Heizmittelstrom [l/h]</v>
      </c>
      <c r="E14" s="24" t="str">
        <f>"zug. wassers. Druckverlust ["&amp;IF(cal!$Z$5=1,"kPa",IF(cal!$Z$5=2,"ftH2O"))&amp;"]"</f>
        <v>zug. wassers. Druckverlust [kPa]</v>
      </c>
      <c r="F14" s="22" t="str">
        <f>CONCATENATE("Sens. Kälteleistung * ",ROUND(J8,0),"/",ROUND(J9,0),"/",ROUND(J10,0)," ["&amp;IF(cal!$Z$5=1,"W",IF(cal!$Z$5=2,"Btu/h"))&amp;"]")</f>
        <v>Sens. Kälteleistung * 16/18/27 [W]</v>
      </c>
      <c r="G14" s="22" t="str">
        <f>CONCATENATE("Tot. Kälteleistung ",ROUND(J8,0),"/",ROUND(J9,0),"/",ROUND(J10,0)," ["&amp;IF(cal!$Z$5=1,"W",IF(cal!$Z$5=2,"Btu/h"))&amp;"]")</f>
        <v>Tot. Kälteleistung 16/18/27 [W]</v>
      </c>
      <c r="H14" s="22" t="str">
        <f>"Kühlmittelstrom ["&amp;IF(cal!$Z$5=1,"l/h",IF(cal!$Z$5=2,"GPM"))&amp;"]"</f>
        <v>Kühlmittelstrom [l/h]</v>
      </c>
      <c r="I14" s="25" t="str">
        <f>E14</f>
        <v>zug. wassers. Druckverlust [kPa]</v>
      </c>
      <c r="J14" s="21" t="s">
        <v>7</v>
      </c>
      <c r="K14" s="26" t="s">
        <v>37</v>
      </c>
      <c r="L14" s="22" t="s">
        <v>4</v>
      </c>
      <c r="M14" s="27" t="str">
        <f>"Luftvolumenstrom ["&amp;IF(cal!$Z$5=1,"m³/h",IF(cal!$Z$5=2,"CFM"))&amp;"]"</f>
        <v>Luftvolumenstrom [m³/h]</v>
      </c>
      <c r="N14" s="27" t="str">
        <f>"Fluggeschwindigkeit ["&amp;IF(cal!$Z$5=1,"m/s",IF(cal!$Z$5=2,"ft/min"))&amp;"]"</f>
        <v>Fluggeschwindigkeit [m/s]</v>
      </c>
      <c r="O14" s="209" t="str">
        <f>"Luftaustrittstemp. Heizung ["&amp;IF(cal!$Z$5=1,"°C",IF(cal!$Z$5=2,"°F"))&amp;"]"</f>
        <v>Luftaustrittstemp. Heizung [°C]</v>
      </c>
      <c r="P14" s="209" t="str">
        <f>"Luftaustrittstemp. Heizung (feuchtkugeltemp.) ["&amp;IF(cal!$Z$5=1,"°C",IF(cal!$Z$5=2,"°F"))&amp;"]"</f>
        <v>Luftaustrittstemp. Heizung (feuchtkugeltemp.) [°C]</v>
      </c>
      <c r="Q14" s="210" t="str">
        <f>"Luftaustrittstemp. kühlung (trockentemp.) ["&amp;IF(cal!$Z$5=1,"°C",IF(cal!$Z$5=2,"°F"))&amp;"]"</f>
        <v>Luftaustrittstemp. kühlung (trockentemp.) [°C]</v>
      </c>
      <c r="R14" s="210" t="str">
        <f>"Luftaustrittstemp. kühlung (feuchtkugeltemp.) ["&amp;IF(cal!$Z$5=1,"°C",IF(cal!$Z$5=2,"°F"))&amp;"]"</f>
        <v>Luftaustrittstemp. kühlung (feuchtkugeltemp.) [°C]</v>
      </c>
      <c r="S14" s="211" t="s">
        <v>135</v>
      </c>
      <c r="T14" s="211" t="s">
        <v>299</v>
      </c>
      <c r="U14" t="s">
        <v>361</v>
      </c>
    </row>
    <row r="15" spans="1:23" ht="18" customHeight="1" x14ac:dyDescent="0.25">
      <c r="A15" s="688" t="str">
        <f>cal!$AK$7&amp;" "&amp;$V$16&amp;" "&amp;ROUND(cal!BK23,1)&amp;IF(cal!$Z$5=1," cm, ",IF(cal!$Z$5=2," in, "))&amp;$V$17&amp;" "&amp;ROUND(cal!BL23,1)&amp;IF(cal!$Z$5=1," cm, ",IF(cal!$Z$5=2," in, "))&amp;$V$18&amp;" "&amp;ROUND(cal!BM23,1)&amp;IF(cal!$Z$5=1," cm ",IF(cal!$Z$5=2," in "))&amp;$S15</f>
        <v>Briza 22 (230V) höhe 54,5 cm, breite 22 cm, länge 55 cm (Type 02)</v>
      </c>
      <c r="B15" s="689"/>
      <c r="C15" s="689"/>
      <c r="D15" s="689"/>
      <c r="E15" s="689"/>
      <c r="F15" s="689"/>
      <c r="G15" s="689"/>
      <c r="H15" s="689"/>
      <c r="I15" s="689"/>
      <c r="J15" s="689"/>
      <c r="K15" s="689"/>
      <c r="L15" s="689"/>
      <c r="M15" s="690" t="str">
        <f>$U$27</f>
        <v>Bestellcode:</v>
      </c>
      <c r="N15" s="690"/>
      <c r="O15" s="690"/>
      <c r="P15" s="690"/>
      <c r="Q15" s="691"/>
      <c r="R15" s="207"/>
      <c r="S15" s="207" t="s">
        <v>226</v>
      </c>
    </row>
    <row r="16" spans="1:23" x14ac:dyDescent="0.25">
      <c r="A16" s="29"/>
      <c r="B16" s="30"/>
      <c r="C16" s="31"/>
      <c r="D16" s="32"/>
      <c r="E16" s="33"/>
      <c r="F16" s="32"/>
      <c r="G16" s="32"/>
      <c r="H16" s="32"/>
      <c r="I16" s="34"/>
      <c r="J16" s="31"/>
      <c r="K16" s="35"/>
      <c r="L16" s="36"/>
      <c r="M16" s="37"/>
      <c r="N16" s="172"/>
      <c r="Q16" s="38"/>
      <c r="U16" s="2" t="s">
        <v>76</v>
      </c>
      <c r="V16" s="2" t="s">
        <v>238</v>
      </c>
      <c r="W16" s="517" t="s">
        <v>422</v>
      </c>
    </row>
    <row r="17" spans="1:23" x14ac:dyDescent="0.25">
      <c r="A17" s="29"/>
      <c r="B17" s="30"/>
      <c r="C17" s="31"/>
      <c r="D17" s="32"/>
      <c r="E17" s="33"/>
      <c r="F17" s="32"/>
      <c r="G17" s="32"/>
      <c r="H17" s="32"/>
      <c r="I17" s="34"/>
      <c r="J17" s="31"/>
      <c r="K17" s="35"/>
      <c r="L17" s="36"/>
      <c r="M17" s="37"/>
      <c r="N17" s="172"/>
      <c r="Q17" s="38"/>
      <c r="U17" s="2" t="s">
        <v>165</v>
      </c>
      <c r="V17" s="2" t="s">
        <v>239</v>
      </c>
      <c r="W17" s="517" t="s">
        <v>423</v>
      </c>
    </row>
    <row r="18" spans="1:23" x14ac:dyDescent="0.25">
      <c r="A18" s="29"/>
      <c r="B18" s="30"/>
      <c r="C18" s="31"/>
      <c r="D18" s="32"/>
      <c r="E18" s="33"/>
      <c r="F18" s="32"/>
      <c r="G18" s="32"/>
      <c r="H18" s="32"/>
      <c r="I18" s="34"/>
      <c r="J18" s="31"/>
      <c r="K18" s="35"/>
      <c r="L18" s="36"/>
      <c r="M18" s="37"/>
      <c r="N18" s="172"/>
      <c r="Q18" s="38"/>
      <c r="U18" s="2" t="s">
        <v>159</v>
      </c>
      <c r="V18" s="2" t="s">
        <v>240</v>
      </c>
      <c r="W18" s="517" t="s">
        <v>424</v>
      </c>
    </row>
    <row r="19" spans="1:23" x14ac:dyDescent="0.25">
      <c r="A19" s="29"/>
      <c r="B19" s="30"/>
      <c r="C19" s="31"/>
      <c r="D19" s="32"/>
      <c r="E19" s="33"/>
      <c r="F19" s="32"/>
      <c r="G19" s="32"/>
      <c r="H19" s="32"/>
      <c r="I19" s="34"/>
      <c r="J19" s="31"/>
      <c r="K19" s="35"/>
      <c r="L19" s="36"/>
      <c r="M19" s="37"/>
      <c r="N19" s="172"/>
      <c r="Q19" s="38"/>
      <c r="U19" s="2" t="s">
        <v>164</v>
      </c>
      <c r="W19" s="2" t="s">
        <v>488</v>
      </c>
    </row>
    <row r="20" spans="1:23" x14ac:dyDescent="0.25">
      <c r="A20" s="29"/>
      <c r="B20" s="30"/>
      <c r="C20" s="31"/>
      <c r="D20" s="32"/>
      <c r="E20" s="33"/>
      <c r="F20" s="32"/>
      <c r="G20" s="32"/>
      <c r="H20" s="32"/>
      <c r="I20" s="34"/>
      <c r="J20" s="31"/>
      <c r="K20" s="35"/>
      <c r="L20" s="36"/>
      <c r="M20" s="37"/>
      <c r="N20" s="172"/>
      <c r="Q20" s="38"/>
      <c r="W20" s="2" t="s">
        <v>489</v>
      </c>
    </row>
    <row r="21" spans="1:23" x14ac:dyDescent="0.25">
      <c r="A21" s="29"/>
      <c r="B21" s="30"/>
      <c r="C21" s="31"/>
      <c r="D21" s="32"/>
      <c r="E21" s="33"/>
      <c r="F21" s="32"/>
      <c r="G21" s="32"/>
      <c r="H21" s="32"/>
      <c r="I21" s="34"/>
      <c r="J21" s="31"/>
      <c r="K21" s="35"/>
      <c r="L21" s="36"/>
      <c r="M21" s="37"/>
      <c r="N21" s="172"/>
      <c r="Q21" s="38"/>
      <c r="W21" s="2" t="s">
        <v>490</v>
      </c>
    </row>
    <row r="22" spans="1:23" x14ac:dyDescent="0.25">
      <c r="A22" s="43"/>
      <c r="B22" s="44"/>
      <c r="C22" s="45"/>
      <c r="D22" s="46"/>
      <c r="E22" s="47"/>
      <c r="F22" s="46"/>
      <c r="G22" s="46"/>
      <c r="H22" s="46"/>
      <c r="I22" s="48"/>
      <c r="J22" s="45"/>
      <c r="K22" s="49"/>
      <c r="L22" s="50"/>
      <c r="M22" s="51"/>
      <c r="N22" s="277"/>
      <c r="O22" s="20"/>
      <c r="P22" s="20"/>
      <c r="Q22" s="39"/>
      <c r="U22" s="2" t="s">
        <v>336</v>
      </c>
      <c r="W22" s="2" t="s">
        <v>491</v>
      </c>
    </row>
    <row r="23" spans="1:23" ht="16.899999999999999" customHeight="1" x14ac:dyDescent="0.25">
      <c r="A23" s="688" t="str">
        <f>cal!$AK$7&amp;" "&amp;$V$16&amp;" "&amp;ROUND(cal!BK31,1)&amp;IF(cal!$Z$5=1," cm, ",IF(cal!$Z$5=2," in, "))&amp;$V$17&amp;" "&amp;ROUND(cal!BL31,1)&amp;IF(cal!$Z$5=1," cm, ",IF(cal!$Z$5=2," in, "))&amp;$V$18&amp;" "&amp;ROUND(cal!BM31,1)&amp;IF(cal!$Z$5=1," cm ",IF(cal!$Z$5=2," in "))&amp;$S23</f>
        <v>Briza 22 (230V) höhe 54,5 cm, breite 22 cm, länge 75 cm (Type 03)</v>
      </c>
      <c r="B23" s="689"/>
      <c r="C23" s="689"/>
      <c r="D23" s="689"/>
      <c r="E23" s="689"/>
      <c r="F23" s="689"/>
      <c r="G23" s="689"/>
      <c r="H23" s="689"/>
      <c r="I23" s="689"/>
      <c r="J23" s="689"/>
      <c r="K23" s="689"/>
      <c r="L23" s="689"/>
      <c r="M23" s="690" t="str">
        <f>$U$27</f>
        <v>Bestellcode:</v>
      </c>
      <c r="N23" s="690"/>
      <c r="O23" s="690"/>
      <c r="P23" s="690"/>
      <c r="Q23" s="691"/>
      <c r="R23" s="207"/>
      <c r="S23" s="207" t="s">
        <v>227</v>
      </c>
      <c r="W23" s="2" t="s">
        <v>492</v>
      </c>
    </row>
    <row r="24" spans="1:23" x14ac:dyDescent="0.25">
      <c r="A24" s="29"/>
      <c r="B24" s="30"/>
      <c r="C24" s="31"/>
      <c r="D24" s="32"/>
      <c r="E24" s="33"/>
      <c r="F24" s="32"/>
      <c r="G24" s="32"/>
      <c r="H24" s="32"/>
      <c r="I24" s="34"/>
      <c r="J24" s="31"/>
      <c r="K24" s="35"/>
      <c r="L24" s="36"/>
      <c r="M24" s="37"/>
      <c r="N24" s="172"/>
      <c r="Q24" s="38"/>
      <c r="U24" t="s">
        <v>346</v>
      </c>
    </row>
    <row r="25" spans="1:23" x14ac:dyDescent="0.25">
      <c r="A25" s="29"/>
      <c r="B25" s="30"/>
      <c r="C25" s="31"/>
      <c r="D25" s="32"/>
      <c r="E25" s="33"/>
      <c r="F25" s="32"/>
      <c r="G25" s="32"/>
      <c r="H25" s="32"/>
      <c r="I25" s="34"/>
      <c r="J25" s="31"/>
      <c r="K25" s="35"/>
      <c r="L25" s="36"/>
      <c r="M25" s="37"/>
      <c r="N25" s="172"/>
      <c r="Q25" s="38"/>
      <c r="U25" t="s">
        <v>347</v>
      </c>
    </row>
    <row r="26" spans="1:23" x14ac:dyDescent="0.25">
      <c r="A26" s="29"/>
      <c r="B26" s="30"/>
      <c r="C26" s="31"/>
      <c r="D26" s="32"/>
      <c r="E26" s="33"/>
      <c r="F26" s="32"/>
      <c r="G26" s="32"/>
      <c r="H26" s="32"/>
      <c r="I26" s="34"/>
      <c r="J26" s="31"/>
      <c r="K26" s="35"/>
      <c r="L26" s="36"/>
      <c r="M26" s="37"/>
      <c r="N26" s="172"/>
      <c r="Q26" s="38"/>
    </row>
    <row r="27" spans="1:23" x14ac:dyDescent="0.25">
      <c r="A27" s="29"/>
      <c r="B27" s="30"/>
      <c r="C27" s="31"/>
      <c r="D27" s="32"/>
      <c r="E27" s="33"/>
      <c r="F27" s="32"/>
      <c r="G27" s="32"/>
      <c r="H27" s="32"/>
      <c r="I27" s="34"/>
      <c r="J27" s="31"/>
      <c r="K27" s="35"/>
      <c r="L27" s="36"/>
      <c r="M27" s="37"/>
      <c r="N27" s="172"/>
      <c r="Q27" s="38"/>
      <c r="U27" s="2" t="s">
        <v>354</v>
      </c>
    </row>
    <row r="28" spans="1:23" x14ac:dyDescent="0.25">
      <c r="A28" s="29"/>
      <c r="B28" s="30"/>
      <c r="C28" s="31"/>
      <c r="D28" s="32"/>
      <c r="E28" s="33"/>
      <c r="F28" s="32"/>
      <c r="G28" s="32"/>
      <c r="H28" s="32"/>
      <c r="I28" s="34"/>
      <c r="J28" s="31"/>
      <c r="K28" s="35"/>
      <c r="L28" s="36"/>
      <c r="M28" s="37"/>
      <c r="N28" s="172"/>
      <c r="Q28" s="38"/>
    </row>
    <row r="29" spans="1:23" x14ac:dyDescent="0.25">
      <c r="A29" s="29"/>
      <c r="B29" s="30"/>
      <c r="C29" s="31"/>
      <c r="D29" s="32"/>
      <c r="E29" s="33"/>
      <c r="F29" s="32"/>
      <c r="G29" s="32"/>
      <c r="H29" s="32"/>
      <c r="I29" s="34"/>
      <c r="J29" s="31"/>
      <c r="K29" s="35"/>
      <c r="L29" s="36"/>
      <c r="M29" s="37"/>
      <c r="N29" s="172"/>
      <c r="Q29" s="38"/>
    </row>
    <row r="30" spans="1:23" x14ac:dyDescent="0.25">
      <c r="A30" s="43"/>
      <c r="B30" s="44"/>
      <c r="C30" s="45"/>
      <c r="D30" s="46"/>
      <c r="E30" s="47"/>
      <c r="F30" s="46"/>
      <c r="G30" s="46"/>
      <c r="H30" s="46"/>
      <c r="I30" s="48"/>
      <c r="J30" s="45"/>
      <c r="K30" s="49"/>
      <c r="L30" s="50"/>
      <c r="M30" s="51"/>
      <c r="N30" s="277"/>
      <c r="O30" s="20"/>
      <c r="P30" s="20"/>
      <c r="Q30" s="39"/>
    </row>
    <row r="31" spans="1:23" ht="18" customHeight="1" x14ac:dyDescent="0.25">
      <c r="A31" s="688" t="str">
        <f>cal!$AK$7&amp;" "&amp;$V$16&amp;" "&amp;ROUND(cal!BK39,1)&amp;IF(cal!$Z$5=1," cm, ",IF(cal!$Z$5=2," in, "))&amp;$V$17&amp;" "&amp;ROUND(cal!BL39,1)&amp;IF(cal!$Z$5=1," cm, ",IF(cal!$Z$5=2," in, "))&amp;$V$18&amp;" "&amp;ROUND(cal!BM39,1)&amp;IF(cal!$Z$5=1," cm ",IF(cal!$Z$5=2," in "))&amp;$S31</f>
        <v>Briza 22 (230V) höhe 54,5 cm, breite 22 cm, länge 95 cm (Type 04)</v>
      </c>
      <c r="B31" s="689"/>
      <c r="C31" s="689"/>
      <c r="D31" s="689"/>
      <c r="E31" s="689"/>
      <c r="F31" s="689"/>
      <c r="G31" s="689"/>
      <c r="H31" s="689"/>
      <c r="I31" s="689"/>
      <c r="J31" s="689"/>
      <c r="K31" s="689"/>
      <c r="L31" s="689"/>
      <c r="M31" s="690" t="str">
        <f>$U$27</f>
        <v>Bestellcode:</v>
      </c>
      <c r="N31" s="690"/>
      <c r="O31" s="690"/>
      <c r="P31" s="690"/>
      <c r="Q31" s="691"/>
      <c r="R31" s="207"/>
      <c r="S31" s="207" t="s">
        <v>228</v>
      </c>
    </row>
    <row r="32" spans="1:23" x14ac:dyDescent="0.25">
      <c r="A32" s="29"/>
      <c r="B32" s="30"/>
      <c r="C32" s="31"/>
      <c r="D32" s="32"/>
      <c r="E32" s="33"/>
      <c r="F32" s="32"/>
      <c r="G32" s="32"/>
      <c r="H32" s="32"/>
      <c r="I32" s="34"/>
      <c r="J32" s="31"/>
      <c r="K32" s="35"/>
      <c r="L32" s="36"/>
      <c r="M32" s="37"/>
      <c r="N32" s="172"/>
      <c r="Q32" s="38"/>
    </row>
    <row r="33" spans="1:19" x14ac:dyDescent="0.25">
      <c r="A33" s="29"/>
      <c r="B33" s="30"/>
      <c r="C33" s="31"/>
      <c r="D33" s="32"/>
      <c r="E33" s="33"/>
      <c r="F33" s="32"/>
      <c r="G33" s="32"/>
      <c r="H33" s="32"/>
      <c r="I33" s="34"/>
      <c r="J33" s="31"/>
      <c r="K33" s="35"/>
      <c r="L33" s="36"/>
      <c r="M33" s="37"/>
      <c r="N33" s="172"/>
      <c r="Q33" s="38"/>
    </row>
    <row r="34" spans="1:19" x14ac:dyDescent="0.25">
      <c r="A34" s="29"/>
      <c r="B34" s="30"/>
      <c r="C34" s="31"/>
      <c r="D34" s="32"/>
      <c r="E34" s="33"/>
      <c r="F34" s="32"/>
      <c r="G34" s="32"/>
      <c r="H34" s="32"/>
      <c r="I34" s="34"/>
      <c r="J34" s="31"/>
      <c r="K34" s="35"/>
      <c r="L34" s="36"/>
      <c r="M34" s="37"/>
      <c r="N34" s="172"/>
      <c r="Q34" s="38"/>
    </row>
    <row r="35" spans="1:19" x14ac:dyDescent="0.25">
      <c r="A35" s="29"/>
      <c r="B35" s="30"/>
      <c r="C35" s="31"/>
      <c r="D35" s="32"/>
      <c r="E35" s="33"/>
      <c r="F35" s="32"/>
      <c r="G35" s="32"/>
      <c r="H35" s="32"/>
      <c r="I35" s="34"/>
      <c r="J35" s="31"/>
      <c r="K35" s="35"/>
      <c r="L35" s="36"/>
      <c r="M35" s="37"/>
      <c r="N35" s="172"/>
      <c r="Q35" s="38"/>
    </row>
    <row r="36" spans="1:19" x14ac:dyDescent="0.25">
      <c r="A36" s="29"/>
      <c r="B36" s="30"/>
      <c r="C36" s="31"/>
      <c r="D36" s="32"/>
      <c r="E36" s="33"/>
      <c r="F36" s="32"/>
      <c r="G36" s="32"/>
      <c r="H36" s="32"/>
      <c r="I36" s="34"/>
      <c r="J36" s="31"/>
      <c r="K36" s="35"/>
      <c r="L36" s="36"/>
      <c r="M36" s="37"/>
      <c r="N36" s="172"/>
      <c r="Q36" s="38"/>
    </row>
    <row r="37" spans="1:19" x14ac:dyDescent="0.25">
      <c r="A37" s="29"/>
      <c r="B37" s="30"/>
      <c r="C37" s="31"/>
      <c r="D37" s="32"/>
      <c r="E37" s="33"/>
      <c r="F37" s="32"/>
      <c r="G37" s="32"/>
      <c r="H37" s="32"/>
      <c r="I37" s="34"/>
      <c r="J37" s="31"/>
      <c r="K37" s="35"/>
      <c r="L37" s="36"/>
      <c r="M37" s="37"/>
      <c r="N37" s="172"/>
      <c r="Q37" s="38"/>
    </row>
    <row r="38" spans="1:19" x14ac:dyDescent="0.25">
      <c r="A38" s="43"/>
      <c r="B38" s="44"/>
      <c r="C38" s="45"/>
      <c r="D38" s="46"/>
      <c r="E38" s="47"/>
      <c r="F38" s="46"/>
      <c r="G38" s="46"/>
      <c r="H38" s="46"/>
      <c r="I38" s="48"/>
      <c r="J38" s="45"/>
      <c r="K38" s="49"/>
      <c r="L38" s="50"/>
      <c r="M38" s="51"/>
      <c r="N38" s="277"/>
      <c r="O38" s="20"/>
      <c r="P38" s="20"/>
      <c r="Q38" s="39"/>
    </row>
    <row r="39" spans="1:19" ht="16.899999999999999" customHeight="1" x14ac:dyDescent="0.25">
      <c r="A39" s="688" t="str">
        <f>cal!$AK$7&amp;" "&amp;$V$16&amp;" "&amp;ROUND(cal!BK47,1)&amp;IF(cal!$Z$5=1," cm, ",IF(cal!$Z$5=2," in, "))&amp;$V$17&amp;" "&amp;ROUND(cal!BL47,1)&amp;IF(cal!$Z$5=1," cm, ",IF(cal!$Z$5=2," in, "))&amp;$V$18&amp;" "&amp;ROUND(cal!BM47,1)&amp;IF(cal!$Z$5=1," cm ",IF(cal!$Z$5=2," in "))&amp;$S39</f>
        <v>Briza 22 (230V) höhe 54,5 cm, breite 22 cm, länge 125 cm (Type 06)</v>
      </c>
      <c r="B39" s="689"/>
      <c r="C39" s="689"/>
      <c r="D39" s="689"/>
      <c r="E39" s="689"/>
      <c r="F39" s="689"/>
      <c r="G39" s="689"/>
      <c r="H39" s="689"/>
      <c r="I39" s="689"/>
      <c r="J39" s="689"/>
      <c r="K39" s="689"/>
      <c r="L39" s="689"/>
      <c r="M39" s="690" t="str">
        <f>$U$27</f>
        <v>Bestellcode:</v>
      </c>
      <c r="N39" s="690"/>
      <c r="O39" s="690"/>
      <c r="P39" s="690"/>
      <c r="Q39" s="691"/>
      <c r="R39" s="207"/>
      <c r="S39" s="207" t="s">
        <v>229</v>
      </c>
    </row>
    <row r="40" spans="1:19" x14ac:dyDescent="0.25">
      <c r="A40" s="29"/>
      <c r="B40" s="30"/>
      <c r="C40" s="31"/>
      <c r="D40" s="32"/>
      <c r="E40" s="33"/>
      <c r="F40" s="32"/>
      <c r="G40" s="32"/>
      <c r="H40" s="32"/>
      <c r="I40" s="34"/>
      <c r="J40" s="31"/>
      <c r="K40" s="35"/>
      <c r="L40" s="36"/>
      <c r="M40" s="37"/>
      <c r="N40" s="172"/>
      <c r="Q40" s="38"/>
    </row>
    <row r="41" spans="1:19" x14ac:dyDescent="0.25">
      <c r="A41" s="29"/>
      <c r="B41" s="30"/>
      <c r="C41" s="31"/>
      <c r="D41" s="32"/>
      <c r="E41" s="33"/>
      <c r="F41" s="32"/>
      <c r="G41" s="32"/>
      <c r="H41" s="32"/>
      <c r="I41" s="34"/>
      <c r="J41" s="31"/>
      <c r="K41" s="35"/>
      <c r="L41" s="36"/>
      <c r="M41" s="37"/>
      <c r="N41" s="172"/>
      <c r="Q41" s="38"/>
    </row>
    <row r="42" spans="1:19" x14ac:dyDescent="0.25">
      <c r="A42" s="29"/>
      <c r="B42" s="30"/>
      <c r="C42" s="31"/>
      <c r="D42" s="32"/>
      <c r="E42" s="33"/>
      <c r="F42" s="32"/>
      <c r="G42" s="32"/>
      <c r="H42" s="32"/>
      <c r="I42" s="34"/>
      <c r="J42" s="31"/>
      <c r="K42" s="35"/>
      <c r="L42" s="36"/>
      <c r="M42" s="37"/>
      <c r="N42" s="172"/>
      <c r="Q42" s="38"/>
    </row>
    <row r="43" spans="1:19" x14ac:dyDescent="0.25">
      <c r="A43" s="29"/>
      <c r="B43" s="30"/>
      <c r="C43" s="31"/>
      <c r="D43" s="32"/>
      <c r="E43" s="33"/>
      <c r="F43" s="32"/>
      <c r="G43" s="32"/>
      <c r="H43" s="32"/>
      <c r="I43" s="34"/>
      <c r="J43" s="31"/>
      <c r="K43" s="35"/>
      <c r="L43" s="36"/>
      <c r="M43" s="37"/>
      <c r="N43" s="172"/>
      <c r="Q43" s="38"/>
    </row>
    <row r="44" spans="1:19" x14ac:dyDescent="0.25">
      <c r="A44" s="29"/>
      <c r="B44" s="30"/>
      <c r="C44" s="31"/>
      <c r="D44" s="32"/>
      <c r="E44" s="33"/>
      <c r="F44" s="32"/>
      <c r="G44" s="32"/>
      <c r="H44" s="32"/>
      <c r="I44" s="34"/>
      <c r="J44" s="31"/>
      <c r="K44" s="35"/>
      <c r="L44" s="36"/>
      <c r="M44" s="37"/>
      <c r="N44" s="172"/>
      <c r="Q44" s="38"/>
    </row>
    <row r="45" spans="1:19" x14ac:dyDescent="0.25">
      <c r="A45" s="29"/>
      <c r="B45" s="30"/>
      <c r="C45" s="31"/>
      <c r="D45" s="32"/>
      <c r="E45" s="33"/>
      <c r="F45" s="32"/>
      <c r="G45" s="32"/>
      <c r="H45" s="32"/>
      <c r="I45" s="34"/>
      <c r="J45" s="31"/>
      <c r="K45" s="35"/>
      <c r="L45" s="36"/>
      <c r="M45" s="37"/>
      <c r="N45" s="172"/>
      <c r="Q45" s="38"/>
    </row>
    <row r="46" spans="1:19" x14ac:dyDescent="0.25">
      <c r="A46" s="43"/>
      <c r="B46" s="44"/>
      <c r="C46" s="45"/>
      <c r="D46" s="46"/>
      <c r="E46" s="47"/>
      <c r="F46" s="46"/>
      <c r="G46" s="46"/>
      <c r="H46" s="46"/>
      <c r="I46" s="48"/>
      <c r="J46" s="45"/>
      <c r="K46" s="49"/>
      <c r="L46" s="50"/>
      <c r="M46" s="51"/>
      <c r="N46" s="277"/>
      <c r="O46" s="20"/>
      <c r="P46" s="20"/>
      <c r="Q46" s="39"/>
    </row>
    <row r="47" spans="1:19" x14ac:dyDescent="0.25">
      <c r="A47" s="688" t="str">
        <f>cal!$AK$7&amp;" "&amp;$V$16&amp;" "&amp;ROUND(cal!BK55,1)&amp;IF(cal!$Z$5=1," cm, ",IF(cal!$Z$5=2," in, "))&amp;$V$17&amp;" "&amp;ROUND(cal!BL55,1)&amp;IF(cal!$Z$5=1," cm, ",IF(cal!$Z$5=2," in, "))&amp;$V$18&amp;" "&amp;ROUND(cal!BM55,1)&amp;IF(cal!$Z$5=1," cm ",IF(cal!$Z$5=2," in "))&amp;$S47</f>
        <v>Briza 22 (230V) höhe 54,5 cm, breite 22 cm, länge 155 cm (Type 08)</v>
      </c>
      <c r="B47" s="689"/>
      <c r="C47" s="689"/>
      <c r="D47" s="689"/>
      <c r="E47" s="689"/>
      <c r="F47" s="689"/>
      <c r="G47" s="689"/>
      <c r="H47" s="689"/>
      <c r="I47" s="689"/>
      <c r="J47" s="689"/>
      <c r="K47" s="689"/>
      <c r="L47" s="689"/>
      <c r="M47" s="690" t="str">
        <f>$U$27</f>
        <v>Bestellcode:</v>
      </c>
      <c r="N47" s="690"/>
      <c r="O47" s="690"/>
      <c r="P47" s="690"/>
      <c r="Q47" s="691"/>
      <c r="R47" s="207"/>
      <c r="S47" s="207" t="s">
        <v>230</v>
      </c>
    </row>
    <row r="48" spans="1:19" x14ac:dyDescent="0.25">
      <c r="A48" s="29"/>
      <c r="B48" s="30"/>
      <c r="C48" s="31"/>
      <c r="D48" s="32"/>
      <c r="E48" s="33"/>
      <c r="F48" s="32"/>
      <c r="G48" s="32"/>
      <c r="H48" s="32"/>
      <c r="I48" s="34"/>
      <c r="J48" s="31"/>
      <c r="K48" s="35"/>
      <c r="L48" s="36"/>
      <c r="M48" s="37"/>
      <c r="N48" s="172"/>
      <c r="Q48" s="38"/>
    </row>
    <row r="49" spans="1:19" x14ac:dyDescent="0.25">
      <c r="A49" s="29"/>
      <c r="B49" s="30"/>
      <c r="C49" s="31"/>
      <c r="D49" s="32"/>
      <c r="E49" s="33"/>
      <c r="F49" s="32"/>
      <c r="G49" s="32"/>
      <c r="H49" s="32"/>
      <c r="I49" s="34"/>
      <c r="J49" s="31"/>
      <c r="K49" s="35"/>
      <c r="L49" s="36"/>
      <c r="M49" s="37"/>
      <c r="N49" s="172"/>
      <c r="Q49" s="38"/>
    </row>
    <row r="50" spans="1:19" x14ac:dyDescent="0.25">
      <c r="A50" s="29"/>
      <c r="B50" s="30"/>
      <c r="C50" s="31"/>
      <c r="D50" s="32"/>
      <c r="E50" s="33"/>
      <c r="F50" s="32"/>
      <c r="G50" s="32"/>
      <c r="H50" s="32"/>
      <c r="I50" s="34"/>
      <c r="J50" s="31"/>
      <c r="K50" s="35"/>
      <c r="L50" s="36"/>
      <c r="M50" s="37"/>
      <c r="N50" s="172"/>
      <c r="Q50" s="38"/>
    </row>
    <row r="51" spans="1:19" x14ac:dyDescent="0.25">
      <c r="A51" s="29"/>
      <c r="B51" s="30"/>
      <c r="C51" s="31"/>
      <c r="D51" s="32"/>
      <c r="E51" s="33"/>
      <c r="F51" s="32"/>
      <c r="G51" s="32"/>
      <c r="H51" s="32"/>
      <c r="I51" s="34"/>
      <c r="J51" s="31"/>
      <c r="K51" s="35"/>
      <c r="L51" s="36"/>
      <c r="M51" s="37"/>
      <c r="N51" s="172"/>
      <c r="Q51" s="38"/>
    </row>
    <row r="52" spans="1:19" x14ac:dyDescent="0.25">
      <c r="A52" s="29"/>
      <c r="B52" s="30"/>
      <c r="C52" s="31"/>
      <c r="D52" s="32"/>
      <c r="E52" s="33"/>
      <c r="F52" s="32"/>
      <c r="G52" s="32"/>
      <c r="H52" s="32"/>
      <c r="I52" s="34"/>
      <c r="J52" s="31"/>
      <c r="K52" s="35"/>
      <c r="L52" s="36"/>
      <c r="M52" s="37"/>
      <c r="N52" s="172"/>
      <c r="Q52" s="38"/>
    </row>
    <row r="53" spans="1:19" x14ac:dyDescent="0.25">
      <c r="A53" s="29"/>
      <c r="B53" s="30"/>
      <c r="C53" s="31"/>
      <c r="D53" s="32"/>
      <c r="E53" s="33"/>
      <c r="F53" s="32"/>
      <c r="G53" s="32"/>
      <c r="H53" s="32"/>
      <c r="I53" s="34"/>
      <c r="J53" s="31"/>
      <c r="K53" s="35"/>
      <c r="L53" s="36"/>
      <c r="M53" s="37"/>
      <c r="N53" s="172"/>
      <c r="Q53" s="38"/>
    </row>
    <row r="54" spans="1:19" x14ac:dyDescent="0.25">
      <c r="A54" s="43"/>
      <c r="B54" s="44"/>
      <c r="C54" s="45"/>
      <c r="D54" s="46"/>
      <c r="E54" s="47"/>
      <c r="F54" s="46"/>
      <c r="G54" s="46"/>
      <c r="H54" s="46"/>
      <c r="I54" s="48"/>
      <c r="J54" s="45"/>
      <c r="K54" s="49"/>
      <c r="L54" s="50"/>
      <c r="M54" s="51"/>
      <c r="N54" s="277"/>
      <c r="O54" s="20"/>
      <c r="P54" s="20"/>
      <c r="Q54" s="39"/>
    </row>
    <row r="55" spans="1:19" x14ac:dyDescent="0.25">
      <c r="A55" s="688" t="str">
        <f>cal!$AK$7&amp;" "&amp;$V$16&amp;" "&amp;ROUND(cal!BK63,1)&amp;IF(cal!$Z$5=1," cm, ",IF(cal!$Z$5=2," in, "))&amp;$V$17&amp;" "&amp;ROUND(cal!BL63,1)&amp;IF(cal!$Z$5=1," cm, ",IF(cal!$Z$5=2," in, "))&amp;$V$18&amp;" "&amp;ROUND(cal!BM63,1)&amp;IF(cal!$Z$5=1," cm ",IF(cal!$Z$5=2," in "))&amp;$S55</f>
        <v>Briza 22 (230V) höhe 54,5 cm, breite 22 cm, länge 190 cm (Type 10)</v>
      </c>
      <c r="B55" s="689"/>
      <c r="C55" s="689"/>
      <c r="D55" s="689"/>
      <c r="E55" s="689"/>
      <c r="F55" s="689"/>
      <c r="G55" s="689"/>
      <c r="H55" s="689"/>
      <c r="I55" s="689"/>
      <c r="J55" s="689"/>
      <c r="K55" s="689"/>
      <c r="L55" s="689"/>
      <c r="M55" s="690" t="str">
        <f>$U$27</f>
        <v>Bestellcode:</v>
      </c>
      <c r="N55" s="690"/>
      <c r="O55" s="690"/>
      <c r="P55" s="690"/>
      <c r="Q55" s="691"/>
      <c r="R55" s="207"/>
      <c r="S55" s="207" t="s">
        <v>231</v>
      </c>
    </row>
    <row r="56" spans="1:19" x14ac:dyDescent="0.25">
      <c r="A56" s="29"/>
      <c r="B56" s="30"/>
      <c r="C56" s="31"/>
      <c r="D56" s="32"/>
      <c r="E56" s="33"/>
      <c r="F56" s="32"/>
      <c r="G56" s="32"/>
      <c r="H56" s="32"/>
      <c r="I56" s="34"/>
      <c r="J56" s="31"/>
      <c r="K56" s="35"/>
      <c r="L56" s="36"/>
      <c r="M56" s="37"/>
      <c r="N56" s="172"/>
      <c r="Q56" s="38"/>
    </row>
    <row r="57" spans="1:19" x14ac:dyDescent="0.25">
      <c r="A57" s="29"/>
      <c r="B57" s="30"/>
      <c r="C57" s="31"/>
      <c r="D57" s="32"/>
      <c r="E57" s="33"/>
      <c r="F57" s="32"/>
      <c r="G57" s="32"/>
      <c r="H57" s="32"/>
      <c r="I57" s="34"/>
      <c r="J57" s="31"/>
      <c r="K57" s="35"/>
      <c r="L57" s="36"/>
      <c r="M57" s="37"/>
      <c r="N57" s="172"/>
      <c r="Q57" s="38"/>
    </row>
    <row r="58" spans="1:19" x14ac:dyDescent="0.25">
      <c r="A58" s="29"/>
      <c r="B58" s="30"/>
      <c r="C58" s="31"/>
      <c r="D58" s="32"/>
      <c r="E58" s="33"/>
      <c r="F58" s="32"/>
      <c r="G58" s="32"/>
      <c r="H58" s="32"/>
      <c r="I58" s="34"/>
      <c r="J58" s="31"/>
      <c r="K58" s="35"/>
      <c r="L58" s="36"/>
      <c r="M58" s="37"/>
      <c r="N58" s="172"/>
      <c r="Q58" s="38"/>
    </row>
    <row r="59" spans="1:19" x14ac:dyDescent="0.25">
      <c r="A59" s="29"/>
      <c r="B59" s="30"/>
      <c r="C59" s="31"/>
      <c r="D59" s="32"/>
      <c r="E59" s="33"/>
      <c r="F59" s="32"/>
      <c r="G59" s="32"/>
      <c r="H59" s="32"/>
      <c r="I59" s="34"/>
      <c r="J59" s="31"/>
      <c r="K59" s="35"/>
      <c r="L59" s="36"/>
      <c r="M59" s="37"/>
      <c r="N59" s="172"/>
      <c r="Q59" s="38"/>
    </row>
    <row r="60" spans="1:19" x14ac:dyDescent="0.25">
      <c r="A60" s="29"/>
      <c r="B60" s="30"/>
      <c r="C60" s="31"/>
      <c r="D60" s="32"/>
      <c r="E60" s="33"/>
      <c r="F60" s="32"/>
      <c r="G60" s="32"/>
      <c r="H60" s="32"/>
      <c r="I60" s="34"/>
      <c r="J60" s="31"/>
      <c r="K60" s="35"/>
      <c r="L60" s="36"/>
      <c r="M60" s="37"/>
      <c r="N60" s="172"/>
      <c r="Q60" s="38"/>
    </row>
    <row r="61" spans="1:19" x14ac:dyDescent="0.25">
      <c r="A61" s="29"/>
      <c r="B61" s="30"/>
      <c r="C61" s="31"/>
      <c r="D61" s="32"/>
      <c r="E61" s="33"/>
      <c r="F61" s="32"/>
      <c r="G61" s="32"/>
      <c r="H61" s="32"/>
      <c r="I61" s="34"/>
      <c r="J61" s="31"/>
      <c r="K61" s="35"/>
      <c r="L61" s="36"/>
      <c r="M61" s="37"/>
      <c r="N61" s="172"/>
      <c r="Q61" s="38"/>
    </row>
    <row r="62" spans="1:19" x14ac:dyDescent="0.25">
      <c r="A62" s="43"/>
      <c r="B62" s="44"/>
      <c r="C62" s="45"/>
      <c r="D62" s="46"/>
      <c r="E62" s="47"/>
      <c r="F62" s="46"/>
      <c r="G62" s="46"/>
      <c r="H62" s="46"/>
      <c r="I62" s="48"/>
      <c r="J62" s="45"/>
      <c r="K62" s="49"/>
      <c r="L62" s="50"/>
      <c r="M62" s="51"/>
      <c r="N62" s="277"/>
      <c r="O62" s="20"/>
      <c r="P62" s="20"/>
      <c r="Q62" s="39"/>
    </row>
    <row r="63" spans="1:19" ht="9.4" customHeight="1" x14ac:dyDescent="0.25">
      <c r="A63" s="40" t="s">
        <v>259</v>
      </c>
      <c r="L63" s="41"/>
      <c r="M63" s="42"/>
      <c r="N63" s="42"/>
      <c r="Q63" s="42">
        <f>cal!Q63</f>
        <v>0</v>
      </c>
      <c r="R63" s="42"/>
      <c r="S63" s="42"/>
    </row>
    <row r="64" spans="1:19" ht="9.4" customHeight="1" x14ac:dyDescent="0.25">
      <c r="A64" s="40" t="s">
        <v>5</v>
      </c>
    </row>
    <row r="65" spans="1:1" ht="9.4" customHeight="1" x14ac:dyDescent="0.25">
      <c r="A65" s="40" t="s">
        <v>6</v>
      </c>
    </row>
    <row r="66" spans="1:1" ht="9.4" customHeight="1" x14ac:dyDescent="0.25">
      <c r="A66" s="40" t="s">
        <v>290</v>
      </c>
    </row>
  </sheetData>
  <sheetProtection selectLockedCells="1"/>
  <mergeCells count="27">
    <mergeCell ref="A47:L47"/>
    <mergeCell ref="M47:Q47"/>
    <mergeCell ref="A55:L55"/>
    <mergeCell ref="M55:Q55"/>
    <mergeCell ref="A23:L23"/>
    <mergeCell ref="M23:Q23"/>
    <mergeCell ref="A31:L31"/>
    <mergeCell ref="M31:Q31"/>
    <mergeCell ref="A39:L39"/>
    <mergeCell ref="M39:Q39"/>
    <mergeCell ref="S7:T7"/>
    <mergeCell ref="Q7:R7"/>
    <mergeCell ref="Q8:R10"/>
    <mergeCell ref="G4:J4"/>
    <mergeCell ref="G3:J3"/>
    <mergeCell ref="L6:M6"/>
    <mergeCell ref="L7:M7"/>
    <mergeCell ref="L9:M9"/>
    <mergeCell ref="L10:M10"/>
    <mergeCell ref="A15:L15"/>
    <mergeCell ref="M15:Q15"/>
    <mergeCell ref="A8:C8"/>
    <mergeCell ref="F8:I8"/>
    <mergeCell ref="A9:C9"/>
    <mergeCell ref="F9:I9"/>
    <mergeCell ref="A10:C10"/>
    <mergeCell ref="F10:I10"/>
  </mergeCells>
  <dataValidations count="7">
    <dataValidation type="whole" errorStyle="information" allowBlank="1" showErrorMessage="1" error="Eingabe außerhalb des gültigen Bereichs." prompt="20°C bis 35°C" sqref="J10" xr:uid="{00000000-0002-0000-0400-000000000000}">
      <formula1>20</formula1>
      <formula2>35</formula2>
    </dataValidation>
    <dataValidation type="whole" errorStyle="information" allowBlank="1" showErrorMessage="1" error="Eingabe außerhalb des gültigen Bereichs." prompt="Eingabe zwischen 16°C bis 30°C" sqref="D10" xr:uid="{00000000-0002-0000-0400-000001000000}">
      <formula1>16</formula1>
      <formula2>30</formula2>
    </dataValidation>
    <dataValidation type="whole" errorStyle="information" allowBlank="1" showErrorMessage="1" error="Eingabe außerhalb des gültigen Bereichs." prompt="Eingabe zwischen Vorlauftemp. und Raumtemp." sqref="D9" xr:uid="{00000000-0002-0000-0400-000002000000}">
      <formula1>D10</formula1>
      <formula2>D8</formula2>
    </dataValidation>
    <dataValidation type="whole" errorStyle="information" allowBlank="1" showErrorMessage="1" error="Temperatur außerhalb des gütligen Bereichs." prompt="Eingabe zwischen 30°C bis 95°C" sqref="D8" xr:uid="{00000000-0002-0000-0400-000003000000}">
      <formula1>30</formula1>
      <formula2>95</formula2>
    </dataValidation>
    <dataValidation type="whole" errorStyle="information" allowBlank="1" showErrorMessage="1" error="Eingabe außerhalb des gültigen Bereichs." prompt="Eingabe zwischen Vorlauftemp. und Raumtemp." sqref="J9" xr:uid="{00000000-0002-0000-0400-000004000000}">
      <formula1>J8</formula1>
      <formula2>J10</formula2>
    </dataValidation>
    <dataValidation type="whole" errorStyle="information" allowBlank="1" showErrorMessage="1" error="Eingabe außerhalb des gültigen Bereichs." prompt="Eingabe zwischen 5°C bis 20°C" sqref="J8" xr:uid="{00000000-0002-0000-0400-000005000000}">
      <formula1>5</formula1>
      <formula2>20</formula2>
    </dataValidation>
    <dataValidation type="decimal" errorStyle="information" allowBlank="1" showErrorMessage="1" error="Eingabe außerhalb des gültigen Bereichs." prompt="20°C bis 35°C" sqref="J11" xr:uid="{00000000-0002-0000-0400-000006000000}">
      <formula1>0.01</formula1>
      <formula2>1</formula2>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R"/>
  <dimension ref="A1:W66"/>
  <sheetViews>
    <sheetView workbookViewId="0">
      <selection activeCell="K2" sqref="K2:M2"/>
    </sheetView>
  </sheetViews>
  <sheetFormatPr defaultColWidth="11.42578125" defaultRowHeight="15" x14ac:dyDescent="0.25"/>
  <cols>
    <col min="1" max="1" width="7" style="2" customWidth="1"/>
    <col min="2" max="2" width="6.140625" style="2" customWidth="1"/>
    <col min="3" max="3" width="7" style="2" customWidth="1"/>
    <col min="4" max="4" width="6.7109375" style="2" customWidth="1"/>
    <col min="5" max="19" width="7" style="2" customWidth="1"/>
    <col min="20" max="16384" width="11.42578125" style="2"/>
  </cols>
  <sheetData>
    <row r="1" spans="1:23" x14ac:dyDescent="0.25">
      <c r="A1" s="1"/>
    </row>
    <row r="2" spans="1:23" x14ac:dyDescent="0.25">
      <c r="A2" s="3" t="s">
        <v>27</v>
      </c>
      <c r="B2" s="4"/>
    </row>
    <row r="3" spans="1:23" x14ac:dyDescent="0.25">
      <c r="A3" s="1"/>
      <c r="G3" s="684" t="s">
        <v>172</v>
      </c>
      <c r="H3" s="622"/>
      <c r="I3" s="622"/>
      <c r="J3" s="623"/>
    </row>
    <row r="4" spans="1:23" x14ac:dyDescent="0.25">
      <c r="A4" s="5" t="s">
        <v>24</v>
      </c>
      <c r="G4" s="684" t="s">
        <v>113</v>
      </c>
      <c r="H4" s="622">
        <v>0</v>
      </c>
      <c r="I4" s="622">
        <v>0</v>
      </c>
      <c r="J4" s="623">
        <v>0</v>
      </c>
    </row>
    <row r="5" spans="1:23" ht="6" customHeight="1" thickBot="1" x14ac:dyDescent="0.3">
      <c r="A5" s="6"/>
      <c r="B5" s="7"/>
      <c r="C5" s="7"/>
      <c r="D5" s="7"/>
      <c r="E5" s="7"/>
      <c r="F5" s="7"/>
      <c r="G5" s="7"/>
      <c r="H5" s="7"/>
      <c r="I5" s="7"/>
      <c r="J5" s="7"/>
      <c r="K5" s="7"/>
      <c r="L5" s="7"/>
      <c r="M5" s="7"/>
      <c r="N5" s="7"/>
      <c r="O5" s="7"/>
      <c r="P5" s="7"/>
      <c r="Q5" s="8"/>
      <c r="R5" s="10"/>
      <c r="S5" s="10"/>
    </row>
    <row r="6" spans="1:23" ht="15.75" thickBot="1" x14ac:dyDescent="0.3">
      <c r="A6" s="9" t="s">
        <v>38</v>
      </c>
      <c r="B6" s="10"/>
      <c r="C6" s="10"/>
      <c r="D6" s="10"/>
      <c r="E6" s="10"/>
      <c r="F6" s="10"/>
      <c r="G6" s="10"/>
      <c r="H6" s="10"/>
      <c r="I6" s="10"/>
      <c r="J6" s="10"/>
      <c r="K6" s="10"/>
      <c r="L6" s="686" t="s">
        <v>191</v>
      </c>
      <c r="M6" s="687"/>
      <c r="N6" s="274"/>
      <c r="O6" s="10"/>
      <c r="P6" s="10"/>
      <c r="Q6" s="11"/>
      <c r="R6" s="10"/>
      <c r="S6" s="10"/>
    </row>
    <row r="7" spans="1:23" ht="15.75" thickBot="1" x14ac:dyDescent="0.3">
      <c r="A7" s="9" t="s">
        <v>39</v>
      </c>
      <c r="B7" s="10"/>
      <c r="C7" s="10"/>
      <c r="D7" s="10"/>
      <c r="E7" s="10"/>
      <c r="F7" s="12" t="s">
        <v>29</v>
      </c>
      <c r="G7" s="12"/>
      <c r="H7" s="12"/>
      <c r="I7" s="10"/>
      <c r="J7" s="10"/>
      <c r="K7" s="10"/>
      <c r="L7" s="636"/>
      <c r="M7" s="637"/>
      <c r="N7" s="275"/>
      <c r="O7" s="10"/>
      <c r="P7" s="10"/>
      <c r="Q7" s="552" t="s">
        <v>198</v>
      </c>
      <c r="R7" s="553"/>
      <c r="S7" s="552" t="s">
        <v>310</v>
      </c>
      <c r="T7" s="553"/>
    </row>
    <row r="8" spans="1:23" ht="15.75" thickBot="1" x14ac:dyDescent="0.3">
      <c r="A8" s="685" t="str">
        <f>"Entrée de l'eau"</f>
        <v>Entrée de l'eau</v>
      </c>
      <c r="B8" s="613"/>
      <c r="C8" s="613"/>
      <c r="D8" s="13">
        <f>cal!E10</f>
        <v>65</v>
      </c>
      <c r="E8" s="52" t="str">
        <f>IF(cal!$Z$5=1,"°C",IF(cal!$Z$5=2,"°F"))</f>
        <v>°C</v>
      </c>
      <c r="F8" s="613" t="str">
        <f>A8</f>
        <v>Entrée de l'eau</v>
      </c>
      <c r="G8" s="613"/>
      <c r="H8" s="613"/>
      <c r="I8" s="613"/>
      <c r="J8" s="13">
        <f>cal!K10</f>
        <v>16</v>
      </c>
      <c r="K8" s="10" t="str">
        <f>E8</f>
        <v>°C</v>
      </c>
      <c r="L8" s="10"/>
      <c r="M8" s="10"/>
      <c r="N8" s="10"/>
      <c r="O8" s="10"/>
      <c r="P8" s="10"/>
      <c r="Q8" s="643"/>
      <c r="R8" s="644"/>
      <c r="S8" s="10"/>
    </row>
    <row r="9" spans="1:23" ht="15.75" thickBot="1" x14ac:dyDescent="0.3">
      <c r="A9" s="685" t="str">
        <f>"Retour de l'eau"</f>
        <v>Retour de l'eau</v>
      </c>
      <c r="B9" s="613"/>
      <c r="C9" s="613"/>
      <c r="D9" s="13">
        <f>cal!E11</f>
        <v>55</v>
      </c>
      <c r="E9" s="52" t="str">
        <f>E8</f>
        <v>°C</v>
      </c>
      <c r="F9" s="613" t="str">
        <f>A9</f>
        <v>Retour de l'eau</v>
      </c>
      <c r="G9" s="613"/>
      <c r="H9" s="613"/>
      <c r="I9" s="613"/>
      <c r="J9" s="13">
        <f>cal!K11</f>
        <v>18</v>
      </c>
      <c r="K9" s="10" t="str">
        <f>E8</f>
        <v>°C</v>
      </c>
      <c r="L9" s="686" t="s">
        <v>192</v>
      </c>
      <c r="M9" s="687"/>
      <c r="N9" s="274"/>
      <c r="O9" s="10"/>
      <c r="P9" s="10"/>
      <c r="Q9" s="645"/>
      <c r="R9" s="646"/>
      <c r="S9" s="10"/>
    </row>
    <row r="10" spans="1:23" ht="15.75" thickBot="1" x14ac:dyDescent="0.3">
      <c r="A10" s="685" t="str">
        <f>"Ambiante (bulbe sec)"</f>
        <v>Ambiante (bulbe sec)</v>
      </c>
      <c r="B10" s="613"/>
      <c r="C10" s="613"/>
      <c r="D10" s="13">
        <f>cal!E12</f>
        <v>20</v>
      </c>
      <c r="E10" s="52" t="str">
        <f>E8</f>
        <v>°C</v>
      </c>
      <c r="F10" s="613" t="str">
        <f>A10</f>
        <v>Ambiante (bulbe sec)</v>
      </c>
      <c r="G10" s="613"/>
      <c r="H10" s="613"/>
      <c r="I10" s="613"/>
      <c r="J10" s="13">
        <f>cal!K12</f>
        <v>27</v>
      </c>
      <c r="K10" s="10" t="str">
        <f>E8</f>
        <v>°C</v>
      </c>
      <c r="L10" s="641"/>
      <c r="M10" s="642"/>
      <c r="N10" s="276"/>
      <c r="O10" s="10"/>
      <c r="P10" s="10"/>
      <c r="Q10" s="647"/>
      <c r="R10" s="648"/>
      <c r="S10" s="10"/>
      <c r="U10" s="2" t="s">
        <v>327</v>
      </c>
    </row>
    <row r="11" spans="1:23" x14ac:dyDescent="0.25">
      <c r="A11" s="14" t="s">
        <v>201</v>
      </c>
      <c r="B11" s="10"/>
      <c r="C11" s="10"/>
      <c r="D11" s="10"/>
      <c r="E11" s="10"/>
      <c r="F11" s="10" t="s">
        <v>142</v>
      </c>
      <c r="G11" s="10"/>
      <c r="H11" s="10"/>
      <c r="I11" s="10"/>
      <c r="J11" s="15">
        <f>cal!K14</f>
        <v>0.5</v>
      </c>
      <c r="K11" s="10"/>
      <c r="L11" s="10"/>
      <c r="M11" s="10"/>
      <c r="N11" s="10"/>
      <c r="O11" s="10"/>
      <c r="P11" s="10"/>
      <c r="Q11" s="11"/>
      <c r="R11" s="10"/>
      <c r="S11" s="10"/>
      <c r="U11" s="2" t="s">
        <v>328</v>
      </c>
    </row>
    <row r="12" spans="1:23" ht="6" customHeight="1" x14ac:dyDescent="0.25">
      <c r="A12" s="16"/>
      <c r="B12" s="17"/>
      <c r="C12" s="17"/>
      <c r="D12" s="17"/>
      <c r="E12" s="18"/>
      <c r="F12" s="18"/>
      <c r="G12" s="18"/>
      <c r="H12" s="18"/>
      <c r="I12" s="18"/>
      <c r="J12" s="18"/>
      <c r="K12" s="18"/>
      <c r="L12" s="18"/>
      <c r="M12" s="18"/>
      <c r="N12" s="18"/>
      <c r="O12" s="18"/>
      <c r="P12" s="18"/>
      <c r="Q12" s="19"/>
      <c r="R12" s="10"/>
      <c r="S12" s="10"/>
    </row>
    <row r="13" spans="1:23" x14ac:dyDescent="0.25">
      <c r="A13" s="20"/>
      <c r="B13" s="20"/>
      <c r="C13" s="20"/>
      <c r="D13" s="20"/>
      <c r="E13" s="20"/>
      <c r="F13" s="20"/>
      <c r="G13" s="20"/>
      <c r="H13" s="20"/>
      <c r="I13" s="20"/>
      <c r="J13" s="20"/>
      <c r="K13" s="20"/>
      <c r="L13" s="20"/>
      <c r="M13" s="20"/>
    </row>
    <row r="14" spans="1:23" s="28" customFormat="1" ht="95.45" customHeight="1" x14ac:dyDescent="0.25">
      <c r="A14" s="21" t="s">
        <v>25</v>
      </c>
      <c r="B14" s="22" t="s">
        <v>28</v>
      </c>
      <c r="C14" s="21" t="str">
        <f>CONCATENATE("Puissance de cha. * ",ROUND(D8,0),"/",ROUND(D9,0),"/",ROUND(D10,0)," ["&amp;IF(cal!$Z$5=1,"W",IF(cal!$Z$5=2,"Btu/h"))&amp;"]")</f>
        <v>Puissance de cha. * 65/55/20 [W]</v>
      </c>
      <c r="D14" s="23" t="str">
        <f>"Débit d'eau, chauffer ["&amp;IF(cal!$Z$5=1,"l/h",IF(cal!$Z$5=2,"GPM"))&amp;"]"</f>
        <v>Débit d'eau, chauffer [l/h]</v>
      </c>
      <c r="E14" s="24" t="str">
        <f>"Perte de charge ["&amp;IF(cal!$Z$5=1,"kPa",IF(cal!$Z$5=2,"ftH2O"))&amp;"]"</f>
        <v>Perte de charge [kPa]</v>
      </c>
      <c r="F14" s="22" t="str">
        <f>CONCATENATE("Puissance sens. de refr. * ",ROUND(J8,0),"/",ROUND(J9,0),"/",ROUND(J10,0)," ["&amp;IF(cal!$Z$5=1,"W",IF(cal!$Z$5=2,"Btu/h"))&amp;"]")</f>
        <v>Puissance sens. de refr. * 16/18/27 [W]</v>
      </c>
      <c r="G14" s="22" t="str">
        <f>CONCATENATE("Puissance tot. de refr. ",ROUND(J8,0),"/",ROUND(J9,0),"/",ROUND(J10,0)," ["&amp;IF(cal!$Z$5=1,"W",IF(cal!$Z$5=2,"Btu/h"))&amp;"]")</f>
        <v>Puissance tot. de refr. 16/18/27 [W]</v>
      </c>
      <c r="H14" s="22" t="str">
        <f>"Débit d'eau, refroidir ["&amp;IF(cal!$Z$5=1,"l/h",IF(cal!$Z$5=2,"GPM"))&amp;"]"</f>
        <v>Débit d'eau, refroidir [l/h]</v>
      </c>
      <c r="I14" s="25" t="str">
        <f>E14</f>
        <v>Perte de charge [kPa]</v>
      </c>
      <c r="J14" s="21" t="s">
        <v>30</v>
      </c>
      <c r="K14" s="26" t="s">
        <v>32</v>
      </c>
      <c r="L14" s="22" t="s">
        <v>31</v>
      </c>
      <c r="M14" s="27" t="str">
        <f>"Débit d'air ["&amp;IF(cal!$Z$5=1,"m³/h",IF(cal!$Z$5=2,"CFM"))&amp;"]"</f>
        <v>Débit d'air [m³/h]</v>
      </c>
      <c r="N14" s="27" t="str">
        <f>"Vitesse d'air ["&amp;IF(cal!$Z$5=1,"m/s",IF(cal!$Z$5=2,"ft/min"))&amp;"]"</f>
        <v>Vitesse d'air [m/s]</v>
      </c>
      <c r="O14" s="208" t="str">
        <f>"Temp. de la sortie d'air cha. ["&amp;IF(cal!$Z$5=1,"°C",IF(cal!$Z$5=2,"°F"))&amp;"]"</f>
        <v>Temp. de la sortie d'air cha. [°C]</v>
      </c>
      <c r="P14" s="209" t="str">
        <f>"Temp. de la sortie d'air cha. (temp. humide) ["&amp;IF(cal!$Z$5=1,"°C",IF(cal!$Z$5=2,"°F"))&amp;"]"</f>
        <v>Temp. de la sortie d'air cha. (temp. humide) [°C]</v>
      </c>
      <c r="Q14" s="210" t="str">
        <f>"Temp. de la sortie d'air refr. (l'ampoule sèche) ["&amp;IF(cal!$Z$5=1,"°C",IF(cal!$Z$5=2,"°F"))&amp;"]"</f>
        <v>Temp. de la sortie d'air refr. (l'ampoule sèche) [°C]</v>
      </c>
      <c r="R14" s="210" t="str">
        <f>"Temp. de la sortie d'air refr. (temp. humide) ["&amp;IF(cal!$Z$5=1,"°C",IF(cal!$Z$5=2,"°F"))&amp;"]"</f>
        <v>Temp. de la sortie d'air refr. (temp. humide) [°C]</v>
      </c>
      <c r="S14" s="211" t="s">
        <v>134</v>
      </c>
      <c r="T14" s="211" t="s">
        <v>300</v>
      </c>
      <c r="U14" t="s">
        <v>360</v>
      </c>
    </row>
    <row r="15" spans="1:23" ht="18" customHeight="1" x14ac:dyDescent="0.25">
      <c r="A15" s="688" t="str">
        <f>cal!$AK$7&amp;" "&amp;$V$16&amp;" "&amp;ROUND(cal!BK23,1)&amp;IF(cal!$Z$5=1," cm, ",IF(cal!$Z$5=2," in, "))&amp;$V$17&amp;" "&amp;ROUND(cal!BL23,1)&amp;IF(cal!$Z$5=1," cm, ",IF(cal!$Z$5=2," in, "))&amp;$V$18&amp;" "&amp;ROUND(cal!BM23,1)&amp;IF(cal!$Z$5=1," cm ",IF(cal!$Z$5=2," in "))&amp;$S15</f>
        <v>Briza 22 (230V) hauteur 54,5 cm, largeur 22 cm, longueur 55 cm (Type 02)</v>
      </c>
      <c r="B15" s="689"/>
      <c r="C15" s="689"/>
      <c r="D15" s="689"/>
      <c r="E15" s="689"/>
      <c r="F15" s="689"/>
      <c r="G15" s="689"/>
      <c r="H15" s="689"/>
      <c r="I15" s="689"/>
      <c r="J15" s="689"/>
      <c r="K15" s="689"/>
      <c r="L15" s="689"/>
      <c r="M15" s="690" t="str">
        <f>$U$27</f>
        <v>Code de commande:</v>
      </c>
      <c r="N15" s="690"/>
      <c r="O15" s="690"/>
      <c r="P15" s="690"/>
      <c r="Q15" s="691"/>
      <c r="R15" s="207"/>
      <c r="S15" s="207" t="s">
        <v>226</v>
      </c>
    </row>
    <row r="16" spans="1:23" x14ac:dyDescent="0.25">
      <c r="A16" s="29"/>
      <c r="B16" s="30"/>
      <c r="C16" s="31"/>
      <c r="D16" s="32"/>
      <c r="E16" s="33"/>
      <c r="F16" s="32"/>
      <c r="G16" s="32"/>
      <c r="H16" s="32"/>
      <c r="I16" s="34"/>
      <c r="J16" s="31"/>
      <c r="K16" s="35"/>
      <c r="L16" s="36"/>
      <c r="M16" s="37"/>
      <c r="N16" s="172"/>
      <c r="Q16" s="38"/>
      <c r="U16" s="2" t="s">
        <v>77</v>
      </c>
      <c r="V16" s="2" t="s">
        <v>241</v>
      </c>
      <c r="W16" s="517" t="s">
        <v>425</v>
      </c>
    </row>
    <row r="17" spans="1:23" x14ac:dyDescent="0.25">
      <c r="A17" s="29"/>
      <c r="B17" s="30"/>
      <c r="C17" s="31"/>
      <c r="D17" s="32"/>
      <c r="E17" s="33"/>
      <c r="F17" s="32"/>
      <c r="G17" s="32"/>
      <c r="H17" s="32"/>
      <c r="I17" s="34"/>
      <c r="J17" s="31"/>
      <c r="K17" s="35"/>
      <c r="L17" s="36"/>
      <c r="M17" s="37"/>
      <c r="N17" s="172"/>
      <c r="Q17" s="38"/>
      <c r="U17" s="2" t="s">
        <v>165</v>
      </c>
      <c r="V17" s="2" t="s">
        <v>242</v>
      </c>
      <c r="W17" s="517" t="s">
        <v>426</v>
      </c>
    </row>
    <row r="18" spans="1:23" x14ac:dyDescent="0.25">
      <c r="A18" s="29"/>
      <c r="B18" s="30"/>
      <c r="C18" s="31"/>
      <c r="D18" s="32"/>
      <c r="E18" s="33"/>
      <c r="F18" s="32"/>
      <c r="G18" s="32"/>
      <c r="H18" s="32"/>
      <c r="I18" s="34"/>
      <c r="J18" s="31"/>
      <c r="K18" s="35"/>
      <c r="L18" s="36"/>
      <c r="M18" s="37"/>
      <c r="N18" s="172"/>
      <c r="Q18" s="38"/>
      <c r="U18" s="2" t="s">
        <v>160</v>
      </c>
      <c r="V18" s="2" t="s">
        <v>243</v>
      </c>
      <c r="W18" s="517" t="s">
        <v>427</v>
      </c>
    </row>
    <row r="19" spans="1:23" x14ac:dyDescent="0.25">
      <c r="A19" s="29"/>
      <c r="B19" s="30"/>
      <c r="C19" s="31"/>
      <c r="D19" s="32"/>
      <c r="E19" s="33"/>
      <c r="F19" s="32"/>
      <c r="G19" s="32"/>
      <c r="H19" s="32"/>
      <c r="I19" s="34"/>
      <c r="J19" s="31"/>
      <c r="K19" s="35"/>
      <c r="L19" s="36"/>
      <c r="M19" s="37"/>
      <c r="N19" s="172"/>
      <c r="Q19" s="38"/>
      <c r="U19" s="2" t="s">
        <v>161</v>
      </c>
      <c r="W19" s="2" t="s">
        <v>493</v>
      </c>
    </row>
    <row r="20" spans="1:23" x14ac:dyDescent="0.25">
      <c r="A20" s="29"/>
      <c r="B20" s="30"/>
      <c r="C20" s="31"/>
      <c r="D20" s="32"/>
      <c r="E20" s="33"/>
      <c r="F20" s="32"/>
      <c r="G20" s="32"/>
      <c r="H20" s="32"/>
      <c r="I20" s="34"/>
      <c r="J20" s="31"/>
      <c r="K20" s="35"/>
      <c r="L20" s="36"/>
      <c r="M20" s="37"/>
      <c r="N20" s="172"/>
      <c r="Q20" s="38"/>
      <c r="W20" s="2" t="s">
        <v>494</v>
      </c>
    </row>
    <row r="21" spans="1:23" x14ac:dyDescent="0.25">
      <c r="A21" s="29"/>
      <c r="B21" s="30"/>
      <c r="C21" s="31"/>
      <c r="D21" s="32"/>
      <c r="E21" s="33"/>
      <c r="F21" s="32"/>
      <c r="G21" s="32"/>
      <c r="H21" s="32"/>
      <c r="I21" s="34"/>
      <c r="J21" s="31"/>
      <c r="K21" s="35"/>
      <c r="L21" s="36"/>
      <c r="M21" s="37"/>
      <c r="N21" s="172"/>
      <c r="Q21" s="38"/>
      <c r="W21" s="2" t="s">
        <v>495</v>
      </c>
    </row>
    <row r="22" spans="1:23" x14ac:dyDescent="0.25">
      <c r="A22" s="43"/>
      <c r="B22" s="44"/>
      <c r="C22" s="45"/>
      <c r="D22" s="46"/>
      <c r="E22" s="47"/>
      <c r="F22" s="46"/>
      <c r="G22" s="46"/>
      <c r="H22" s="46"/>
      <c r="I22" s="48"/>
      <c r="J22" s="45"/>
      <c r="K22" s="49"/>
      <c r="L22" s="50"/>
      <c r="M22" s="51"/>
      <c r="N22" s="277"/>
      <c r="O22" s="20"/>
      <c r="P22" s="20"/>
      <c r="Q22" s="39"/>
      <c r="U22" s="2" t="s">
        <v>337</v>
      </c>
      <c r="W22" s="2" t="s">
        <v>496</v>
      </c>
    </row>
    <row r="23" spans="1:23" ht="16.899999999999999" customHeight="1" x14ac:dyDescent="0.25">
      <c r="A23" s="688" t="str">
        <f>cal!$AK$7&amp;" "&amp;$V$16&amp;" "&amp;ROUND(cal!BK31,1)&amp;IF(cal!$Z$5=1," cm, ",IF(cal!$Z$5=2," in, "))&amp;$V$17&amp;" "&amp;ROUND(cal!BL31,1)&amp;IF(cal!$Z$5=1," cm, ",IF(cal!$Z$5=2," in, "))&amp;$V$18&amp;" "&amp;ROUND(cal!BM31,1)&amp;IF(cal!$Z$5=1," cm ",IF(cal!$Z$5=2," in "))&amp;$S23</f>
        <v>Briza 22 (230V) hauteur 54,5 cm, largeur 22 cm, longueur 75 cm (Type 03)</v>
      </c>
      <c r="B23" s="689"/>
      <c r="C23" s="689"/>
      <c r="D23" s="689"/>
      <c r="E23" s="689"/>
      <c r="F23" s="689"/>
      <c r="G23" s="689"/>
      <c r="H23" s="689"/>
      <c r="I23" s="689"/>
      <c r="J23" s="689"/>
      <c r="K23" s="689"/>
      <c r="L23" s="689"/>
      <c r="M23" s="690" t="str">
        <f>$U$27</f>
        <v>Code de commande:</v>
      </c>
      <c r="N23" s="690"/>
      <c r="O23" s="690"/>
      <c r="P23" s="690"/>
      <c r="Q23" s="691"/>
      <c r="R23" s="207"/>
      <c r="S23" s="207" t="s">
        <v>227</v>
      </c>
      <c r="W23" s="2" t="s">
        <v>497</v>
      </c>
    </row>
    <row r="24" spans="1:23" x14ac:dyDescent="0.25">
      <c r="A24" s="29"/>
      <c r="B24" s="30"/>
      <c r="C24" s="31"/>
      <c r="D24" s="32"/>
      <c r="E24" s="33"/>
      <c r="F24" s="32"/>
      <c r="G24" s="32"/>
      <c r="H24" s="32"/>
      <c r="I24" s="34"/>
      <c r="J24" s="31"/>
      <c r="K24" s="35"/>
      <c r="L24" s="36"/>
      <c r="M24" s="37"/>
      <c r="N24" s="172"/>
      <c r="Q24" s="38"/>
      <c r="U24" t="s">
        <v>344</v>
      </c>
    </row>
    <row r="25" spans="1:23" x14ac:dyDescent="0.25">
      <c r="A25" s="29"/>
      <c r="B25" s="30"/>
      <c r="C25" s="31"/>
      <c r="D25" s="32"/>
      <c r="E25" s="33"/>
      <c r="F25" s="32"/>
      <c r="G25" s="32"/>
      <c r="H25" s="32"/>
      <c r="I25" s="34"/>
      <c r="J25" s="31"/>
      <c r="K25" s="35"/>
      <c r="L25" s="36"/>
      <c r="M25" s="37"/>
      <c r="N25" s="172"/>
      <c r="Q25" s="38"/>
      <c r="U25" t="s">
        <v>345</v>
      </c>
    </row>
    <row r="26" spans="1:23" x14ac:dyDescent="0.25">
      <c r="A26" s="29"/>
      <c r="B26" s="30"/>
      <c r="C26" s="31"/>
      <c r="D26" s="32"/>
      <c r="E26" s="33"/>
      <c r="F26" s="32"/>
      <c r="G26" s="32"/>
      <c r="H26" s="32"/>
      <c r="I26" s="34"/>
      <c r="J26" s="31"/>
      <c r="K26" s="35"/>
      <c r="L26" s="36"/>
      <c r="M26" s="37"/>
      <c r="N26" s="172"/>
      <c r="Q26" s="38"/>
    </row>
    <row r="27" spans="1:23" x14ac:dyDescent="0.25">
      <c r="A27" s="29"/>
      <c r="B27" s="30"/>
      <c r="C27" s="31"/>
      <c r="D27" s="32"/>
      <c r="E27" s="33"/>
      <c r="F27" s="32"/>
      <c r="G27" s="32"/>
      <c r="H27" s="32"/>
      <c r="I27" s="34"/>
      <c r="J27" s="31"/>
      <c r="K27" s="35"/>
      <c r="L27" s="36"/>
      <c r="M27" s="37"/>
      <c r="N27" s="172"/>
      <c r="Q27" s="38"/>
      <c r="U27" s="2" t="s">
        <v>355</v>
      </c>
    </row>
    <row r="28" spans="1:23" x14ac:dyDescent="0.25">
      <c r="A28" s="29"/>
      <c r="B28" s="30"/>
      <c r="C28" s="31"/>
      <c r="D28" s="32"/>
      <c r="E28" s="33"/>
      <c r="F28" s="32"/>
      <c r="G28" s="32"/>
      <c r="H28" s="32"/>
      <c r="I28" s="34"/>
      <c r="J28" s="31"/>
      <c r="K28" s="35"/>
      <c r="L28" s="36"/>
      <c r="M28" s="37"/>
      <c r="N28" s="172"/>
      <c r="Q28" s="38"/>
    </row>
    <row r="29" spans="1:23" x14ac:dyDescent="0.25">
      <c r="A29" s="29"/>
      <c r="B29" s="30"/>
      <c r="C29" s="31"/>
      <c r="D29" s="32"/>
      <c r="E29" s="33"/>
      <c r="F29" s="32"/>
      <c r="G29" s="32"/>
      <c r="H29" s="32"/>
      <c r="I29" s="34"/>
      <c r="J29" s="31"/>
      <c r="K29" s="35"/>
      <c r="L29" s="36"/>
      <c r="M29" s="37"/>
      <c r="N29" s="172"/>
      <c r="Q29" s="38"/>
    </row>
    <row r="30" spans="1:23" x14ac:dyDescent="0.25">
      <c r="A30" s="43"/>
      <c r="B30" s="44"/>
      <c r="C30" s="45"/>
      <c r="D30" s="46"/>
      <c r="E30" s="47"/>
      <c r="F30" s="46"/>
      <c r="G30" s="46"/>
      <c r="H30" s="46"/>
      <c r="I30" s="48"/>
      <c r="J30" s="45"/>
      <c r="K30" s="49"/>
      <c r="L30" s="50"/>
      <c r="M30" s="51"/>
      <c r="N30" s="277"/>
      <c r="O30" s="20"/>
      <c r="P30" s="20"/>
      <c r="Q30" s="39"/>
    </row>
    <row r="31" spans="1:23" ht="18" customHeight="1" x14ac:dyDescent="0.25">
      <c r="A31" s="688" t="str">
        <f>cal!$AK$7&amp;" "&amp;$V$16&amp;" "&amp;ROUND(cal!BK39,1)&amp;IF(cal!$Z$5=1," cm, ",IF(cal!$Z$5=2," in, "))&amp;$V$17&amp;" "&amp;ROUND(cal!BL39,1)&amp;IF(cal!$Z$5=1," cm, ",IF(cal!$Z$5=2," in, "))&amp;$V$18&amp;" "&amp;ROUND(cal!BM39,1)&amp;IF(cal!$Z$5=1," cm ",IF(cal!$Z$5=2," in "))&amp;$S31</f>
        <v>Briza 22 (230V) hauteur 54,5 cm, largeur 22 cm, longueur 95 cm (Type 04)</v>
      </c>
      <c r="B31" s="689"/>
      <c r="C31" s="689"/>
      <c r="D31" s="689"/>
      <c r="E31" s="689"/>
      <c r="F31" s="689"/>
      <c r="G31" s="689"/>
      <c r="H31" s="689"/>
      <c r="I31" s="689"/>
      <c r="J31" s="689"/>
      <c r="K31" s="689"/>
      <c r="L31" s="689"/>
      <c r="M31" s="690" t="str">
        <f>$U$27</f>
        <v>Code de commande:</v>
      </c>
      <c r="N31" s="690"/>
      <c r="O31" s="690"/>
      <c r="P31" s="690"/>
      <c r="Q31" s="691"/>
      <c r="R31" s="207"/>
      <c r="S31" s="207" t="s">
        <v>228</v>
      </c>
    </row>
    <row r="32" spans="1:23" x14ac:dyDescent="0.25">
      <c r="A32" s="29"/>
      <c r="B32" s="30"/>
      <c r="C32" s="31"/>
      <c r="D32" s="32"/>
      <c r="E32" s="33"/>
      <c r="F32" s="32"/>
      <c r="G32" s="32"/>
      <c r="H32" s="32"/>
      <c r="I32" s="34"/>
      <c r="J32" s="31"/>
      <c r="K32" s="35"/>
      <c r="L32" s="36"/>
      <c r="M32" s="37"/>
      <c r="N32" s="172"/>
      <c r="Q32" s="38"/>
    </row>
    <row r="33" spans="1:19" x14ac:dyDescent="0.25">
      <c r="A33" s="29"/>
      <c r="B33" s="30"/>
      <c r="C33" s="31"/>
      <c r="D33" s="32"/>
      <c r="E33" s="33"/>
      <c r="F33" s="32"/>
      <c r="G33" s="32"/>
      <c r="H33" s="32"/>
      <c r="I33" s="34"/>
      <c r="J33" s="31"/>
      <c r="K33" s="35"/>
      <c r="L33" s="36"/>
      <c r="M33" s="37"/>
      <c r="N33" s="172"/>
      <c r="Q33" s="38"/>
    </row>
    <row r="34" spans="1:19" x14ac:dyDescent="0.25">
      <c r="A34" s="29"/>
      <c r="B34" s="30"/>
      <c r="C34" s="31"/>
      <c r="D34" s="32"/>
      <c r="E34" s="33"/>
      <c r="F34" s="32"/>
      <c r="G34" s="32"/>
      <c r="H34" s="32"/>
      <c r="I34" s="34"/>
      <c r="J34" s="31"/>
      <c r="K34" s="35"/>
      <c r="L34" s="36"/>
      <c r="M34" s="37"/>
      <c r="N34" s="172"/>
      <c r="Q34" s="38"/>
    </row>
    <row r="35" spans="1:19" x14ac:dyDescent="0.25">
      <c r="A35" s="29"/>
      <c r="B35" s="30"/>
      <c r="C35" s="31"/>
      <c r="D35" s="32"/>
      <c r="E35" s="33"/>
      <c r="F35" s="32"/>
      <c r="G35" s="32"/>
      <c r="H35" s="32"/>
      <c r="I35" s="34"/>
      <c r="J35" s="31"/>
      <c r="K35" s="35"/>
      <c r="L35" s="36"/>
      <c r="M35" s="37"/>
      <c r="N35" s="172"/>
      <c r="Q35" s="38"/>
    </row>
    <row r="36" spans="1:19" x14ac:dyDescent="0.25">
      <c r="A36" s="29"/>
      <c r="B36" s="30"/>
      <c r="C36" s="31"/>
      <c r="D36" s="32"/>
      <c r="E36" s="33"/>
      <c r="F36" s="32"/>
      <c r="G36" s="32"/>
      <c r="H36" s="32"/>
      <c r="I36" s="34"/>
      <c r="J36" s="31"/>
      <c r="K36" s="35"/>
      <c r="L36" s="36"/>
      <c r="M36" s="37"/>
      <c r="N36" s="172"/>
      <c r="Q36" s="38"/>
    </row>
    <row r="37" spans="1:19" x14ac:dyDescent="0.25">
      <c r="A37" s="29"/>
      <c r="B37" s="30"/>
      <c r="C37" s="31"/>
      <c r="D37" s="32"/>
      <c r="E37" s="33"/>
      <c r="F37" s="32"/>
      <c r="G37" s="32"/>
      <c r="H37" s="32"/>
      <c r="I37" s="34"/>
      <c r="J37" s="31"/>
      <c r="K37" s="35"/>
      <c r="L37" s="36"/>
      <c r="M37" s="37"/>
      <c r="N37" s="172"/>
      <c r="Q37" s="38"/>
    </row>
    <row r="38" spans="1:19" x14ac:dyDescent="0.25">
      <c r="A38" s="43"/>
      <c r="B38" s="44"/>
      <c r="C38" s="45"/>
      <c r="D38" s="46"/>
      <c r="E38" s="47"/>
      <c r="F38" s="46"/>
      <c r="G38" s="46"/>
      <c r="H38" s="46"/>
      <c r="I38" s="48"/>
      <c r="J38" s="45"/>
      <c r="K38" s="49"/>
      <c r="L38" s="50"/>
      <c r="M38" s="51"/>
      <c r="N38" s="277"/>
      <c r="O38" s="20"/>
      <c r="P38" s="20"/>
      <c r="Q38" s="39"/>
    </row>
    <row r="39" spans="1:19" ht="16.899999999999999" customHeight="1" x14ac:dyDescent="0.25">
      <c r="A39" s="688" t="str">
        <f>cal!$AK$7&amp;" "&amp;$V$16&amp;" "&amp;ROUND(cal!BK47,1)&amp;IF(cal!$Z$5=1," cm, ",IF(cal!$Z$5=2," in, "))&amp;$V$17&amp;" "&amp;ROUND(cal!BL47,1)&amp;IF(cal!$Z$5=1," cm, ",IF(cal!$Z$5=2," in, "))&amp;$V$18&amp;" "&amp;ROUND(cal!BM47,1)&amp;IF(cal!$Z$5=1," cm ",IF(cal!$Z$5=2," in "))&amp;$S39</f>
        <v>Briza 22 (230V) hauteur 54,5 cm, largeur 22 cm, longueur 125 cm (Type 06)</v>
      </c>
      <c r="B39" s="689"/>
      <c r="C39" s="689"/>
      <c r="D39" s="689"/>
      <c r="E39" s="689"/>
      <c r="F39" s="689"/>
      <c r="G39" s="689"/>
      <c r="H39" s="689"/>
      <c r="I39" s="689"/>
      <c r="J39" s="689"/>
      <c r="K39" s="689"/>
      <c r="L39" s="689"/>
      <c r="M39" s="690" t="str">
        <f>$U$27</f>
        <v>Code de commande:</v>
      </c>
      <c r="N39" s="690"/>
      <c r="O39" s="690"/>
      <c r="P39" s="690"/>
      <c r="Q39" s="691"/>
      <c r="R39" s="207"/>
      <c r="S39" s="207" t="s">
        <v>229</v>
      </c>
    </row>
    <row r="40" spans="1:19" x14ac:dyDescent="0.25">
      <c r="A40" s="29"/>
      <c r="B40" s="30"/>
      <c r="C40" s="31"/>
      <c r="D40" s="32"/>
      <c r="E40" s="33"/>
      <c r="F40" s="32"/>
      <c r="G40" s="32"/>
      <c r="H40" s="32"/>
      <c r="I40" s="34"/>
      <c r="J40" s="31"/>
      <c r="K40" s="35"/>
      <c r="L40" s="36"/>
      <c r="M40" s="37"/>
      <c r="N40" s="172"/>
      <c r="Q40" s="38"/>
    </row>
    <row r="41" spans="1:19" x14ac:dyDescent="0.25">
      <c r="A41" s="29"/>
      <c r="B41" s="30"/>
      <c r="C41" s="31"/>
      <c r="D41" s="32"/>
      <c r="E41" s="33"/>
      <c r="F41" s="32"/>
      <c r="G41" s="32"/>
      <c r="H41" s="32"/>
      <c r="I41" s="34"/>
      <c r="J41" s="31"/>
      <c r="K41" s="35"/>
      <c r="L41" s="36"/>
      <c r="M41" s="37"/>
      <c r="N41" s="172"/>
      <c r="Q41" s="38"/>
    </row>
    <row r="42" spans="1:19" x14ac:dyDescent="0.25">
      <c r="A42" s="29"/>
      <c r="B42" s="30"/>
      <c r="C42" s="31"/>
      <c r="D42" s="32"/>
      <c r="E42" s="33"/>
      <c r="F42" s="32"/>
      <c r="G42" s="32"/>
      <c r="H42" s="32"/>
      <c r="I42" s="34"/>
      <c r="J42" s="31"/>
      <c r="K42" s="35"/>
      <c r="L42" s="36"/>
      <c r="M42" s="37"/>
      <c r="N42" s="172"/>
      <c r="Q42" s="38"/>
    </row>
    <row r="43" spans="1:19" x14ac:dyDescent="0.25">
      <c r="A43" s="29"/>
      <c r="B43" s="30"/>
      <c r="C43" s="31"/>
      <c r="D43" s="32"/>
      <c r="E43" s="33"/>
      <c r="F43" s="32"/>
      <c r="G43" s="32"/>
      <c r="H43" s="32"/>
      <c r="I43" s="34"/>
      <c r="J43" s="31"/>
      <c r="K43" s="35"/>
      <c r="L43" s="36"/>
      <c r="M43" s="37"/>
      <c r="N43" s="172"/>
      <c r="Q43" s="38"/>
    </row>
    <row r="44" spans="1:19" x14ac:dyDescent="0.25">
      <c r="A44" s="29"/>
      <c r="B44" s="30"/>
      <c r="C44" s="31"/>
      <c r="D44" s="32"/>
      <c r="E44" s="33"/>
      <c r="F44" s="32"/>
      <c r="G44" s="32"/>
      <c r="H44" s="32"/>
      <c r="I44" s="34"/>
      <c r="J44" s="31"/>
      <c r="K44" s="35"/>
      <c r="L44" s="36"/>
      <c r="M44" s="37"/>
      <c r="N44" s="172"/>
      <c r="Q44" s="38"/>
    </row>
    <row r="45" spans="1:19" x14ac:dyDescent="0.25">
      <c r="A45" s="29"/>
      <c r="B45" s="30"/>
      <c r="C45" s="31"/>
      <c r="D45" s="32"/>
      <c r="E45" s="33"/>
      <c r="F45" s="32"/>
      <c r="G45" s="32"/>
      <c r="H45" s="32"/>
      <c r="I45" s="34"/>
      <c r="J45" s="31"/>
      <c r="K45" s="35"/>
      <c r="L45" s="36"/>
      <c r="M45" s="37"/>
      <c r="N45" s="172"/>
      <c r="Q45" s="38"/>
    </row>
    <row r="46" spans="1:19" x14ac:dyDescent="0.25">
      <c r="A46" s="43"/>
      <c r="B46" s="44"/>
      <c r="C46" s="45"/>
      <c r="D46" s="46"/>
      <c r="E46" s="47"/>
      <c r="F46" s="46"/>
      <c r="G46" s="46"/>
      <c r="H46" s="46"/>
      <c r="I46" s="48"/>
      <c r="J46" s="45"/>
      <c r="K46" s="49"/>
      <c r="L46" s="50"/>
      <c r="M46" s="51"/>
      <c r="N46" s="277"/>
      <c r="O46" s="20"/>
      <c r="P46" s="20"/>
      <c r="Q46" s="39"/>
    </row>
    <row r="47" spans="1:19" x14ac:dyDescent="0.25">
      <c r="A47" s="688" t="str">
        <f>cal!$AK$7&amp;" "&amp;$V$16&amp;" "&amp;ROUND(cal!BK55,1)&amp;IF(cal!$Z$5=1," cm, ",IF(cal!$Z$5=2," in, "))&amp;$V$17&amp;" "&amp;ROUND(cal!BL55,1)&amp;IF(cal!$Z$5=1," cm, ",IF(cal!$Z$5=2," in, "))&amp;$V$18&amp;" "&amp;ROUND(cal!BM55,1)&amp;IF(cal!$Z$5=1," cm ",IF(cal!$Z$5=2," in "))&amp;$S47</f>
        <v>Briza 22 (230V) hauteur 54,5 cm, largeur 22 cm, longueur 155 cm (Type 08)</v>
      </c>
      <c r="B47" s="689"/>
      <c r="C47" s="689"/>
      <c r="D47" s="689"/>
      <c r="E47" s="689"/>
      <c r="F47" s="689"/>
      <c r="G47" s="689"/>
      <c r="H47" s="689"/>
      <c r="I47" s="689"/>
      <c r="J47" s="689"/>
      <c r="K47" s="689"/>
      <c r="L47" s="689"/>
      <c r="M47" s="690" t="str">
        <f>$U$27</f>
        <v>Code de commande:</v>
      </c>
      <c r="N47" s="690"/>
      <c r="O47" s="690"/>
      <c r="P47" s="690"/>
      <c r="Q47" s="691"/>
      <c r="R47" s="207"/>
      <c r="S47" s="207" t="s">
        <v>230</v>
      </c>
    </row>
    <row r="48" spans="1:19" x14ac:dyDescent="0.25">
      <c r="A48" s="29"/>
      <c r="B48" s="30"/>
      <c r="C48" s="31"/>
      <c r="D48" s="32"/>
      <c r="E48" s="33"/>
      <c r="F48" s="32"/>
      <c r="G48" s="32"/>
      <c r="H48" s="32"/>
      <c r="I48" s="34"/>
      <c r="J48" s="31"/>
      <c r="K48" s="35"/>
      <c r="L48" s="36"/>
      <c r="M48" s="37"/>
      <c r="N48" s="172"/>
      <c r="Q48" s="38"/>
    </row>
    <row r="49" spans="1:19" x14ac:dyDescent="0.25">
      <c r="A49" s="29"/>
      <c r="B49" s="30"/>
      <c r="C49" s="31"/>
      <c r="D49" s="32"/>
      <c r="E49" s="33"/>
      <c r="F49" s="32"/>
      <c r="G49" s="32"/>
      <c r="H49" s="32"/>
      <c r="I49" s="34"/>
      <c r="J49" s="31"/>
      <c r="K49" s="35"/>
      <c r="L49" s="36"/>
      <c r="M49" s="37"/>
      <c r="N49" s="172"/>
      <c r="Q49" s="38"/>
    </row>
    <row r="50" spans="1:19" x14ac:dyDescent="0.25">
      <c r="A50" s="29"/>
      <c r="B50" s="30"/>
      <c r="C50" s="31"/>
      <c r="D50" s="32"/>
      <c r="E50" s="33"/>
      <c r="F50" s="32"/>
      <c r="G50" s="32"/>
      <c r="H50" s="32"/>
      <c r="I50" s="34"/>
      <c r="J50" s="31"/>
      <c r="K50" s="35"/>
      <c r="L50" s="36"/>
      <c r="M50" s="37"/>
      <c r="N50" s="172"/>
      <c r="Q50" s="38"/>
    </row>
    <row r="51" spans="1:19" x14ac:dyDescent="0.25">
      <c r="A51" s="29"/>
      <c r="B51" s="30"/>
      <c r="C51" s="31"/>
      <c r="D51" s="32"/>
      <c r="E51" s="33"/>
      <c r="F51" s="32"/>
      <c r="G51" s="32"/>
      <c r="H51" s="32"/>
      <c r="I51" s="34"/>
      <c r="J51" s="31"/>
      <c r="K51" s="35"/>
      <c r="L51" s="36"/>
      <c r="M51" s="37"/>
      <c r="N51" s="172"/>
      <c r="Q51" s="38"/>
    </row>
    <row r="52" spans="1:19" x14ac:dyDescent="0.25">
      <c r="A52" s="29"/>
      <c r="B52" s="30"/>
      <c r="C52" s="31"/>
      <c r="D52" s="32"/>
      <c r="E52" s="33"/>
      <c r="F52" s="32"/>
      <c r="G52" s="32"/>
      <c r="H52" s="32"/>
      <c r="I52" s="34"/>
      <c r="J52" s="31"/>
      <c r="K52" s="35"/>
      <c r="L52" s="36"/>
      <c r="M52" s="37"/>
      <c r="N52" s="172"/>
      <c r="Q52" s="38"/>
    </row>
    <row r="53" spans="1:19" x14ac:dyDescent="0.25">
      <c r="A53" s="29"/>
      <c r="B53" s="30"/>
      <c r="C53" s="31"/>
      <c r="D53" s="32"/>
      <c r="E53" s="33"/>
      <c r="F53" s="32"/>
      <c r="G53" s="32"/>
      <c r="H53" s="32"/>
      <c r="I53" s="34"/>
      <c r="J53" s="31"/>
      <c r="K53" s="35"/>
      <c r="L53" s="36"/>
      <c r="M53" s="37"/>
      <c r="N53" s="172"/>
      <c r="Q53" s="38"/>
    </row>
    <row r="54" spans="1:19" x14ac:dyDescent="0.25">
      <c r="A54" s="43"/>
      <c r="B54" s="44"/>
      <c r="C54" s="45"/>
      <c r="D54" s="46"/>
      <c r="E54" s="47"/>
      <c r="F54" s="46"/>
      <c r="G54" s="46"/>
      <c r="H54" s="46"/>
      <c r="I54" s="48"/>
      <c r="J54" s="45"/>
      <c r="K54" s="49"/>
      <c r="L54" s="50"/>
      <c r="M54" s="51"/>
      <c r="N54" s="277"/>
      <c r="O54" s="20"/>
      <c r="P54" s="20"/>
      <c r="Q54" s="39"/>
    </row>
    <row r="55" spans="1:19" x14ac:dyDescent="0.25">
      <c r="A55" s="688" t="str">
        <f>cal!$AK$7&amp;" "&amp;$V$16&amp;" "&amp;ROUND(cal!BK63,1)&amp;IF(cal!$Z$5=1," cm, ",IF(cal!$Z$5=2," in, "))&amp;$V$17&amp;" "&amp;ROUND(cal!BL63,1)&amp;IF(cal!$Z$5=1," cm, ",IF(cal!$Z$5=2," in, "))&amp;$V$18&amp;" "&amp;ROUND(cal!BM63,1)&amp;IF(cal!$Z$5=1," cm ",IF(cal!$Z$5=2," in "))&amp;$S55</f>
        <v>Briza 22 (230V) hauteur 54,5 cm, largeur 22 cm, longueur 190 cm (Type 10)</v>
      </c>
      <c r="B55" s="689"/>
      <c r="C55" s="689"/>
      <c r="D55" s="689"/>
      <c r="E55" s="689"/>
      <c r="F55" s="689"/>
      <c r="G55" s="689"/>
      <c r="H55" s="689"/>
      <c r="I55" s="689"/>
      <c r="J55" s="689"/>
      <c r="K55" s="689"/>
      <c r="L55" s="689"/>
      <c r="M55" s="690" t="str">
        <f>$U$27</f>
        <v>Code de commande:</v>
      </c>
      <c r="N55" s="690"/>
      <c r="O55" s="690"/>
      <c r="P55" s="690"/>
      <c r="Q55" s="691"/>
      <c r="R55" s="207"/>
      <c r="S55" s="207" t="s">
        <v>231</v>
      </c>
    </row>
    <row r="56" spans="1:19" x14ac:dyDescent="0.25">
      <c r="A56" s="29"/>
      <c r="B56" s="30"/>
      <c r="C56" s="31"/>
      <c r="D56" s="32"/>
      <c r="E56" s="33"/>
      <c r="F56" s="32"/>
      <c r="G56" s="32"/>
      <c r="H56" s="32"/>
      <c r="I56" s="34"/>
      <c r="J56" s="31"/>
      <c r="K56" s="35"/>
      <c r="L56" s="36"/>
      <c r="M56" s="37"/>
      <c r="N56" s="172"/>
      <c r="Q56" s="38"/>
    </row>
    <row r="57" spans="1:19" x14ac:dyDescent="0.25">
      <c r="A57" s="29"/>
      <c r="B57" s="30"/>
      <c r="C57" s="31"/>
      <c r="D57" s="32"/>
      <c r="E57" s="33"/>
      <c r="F57" s="32"/>
      <c r="G57" s="32"/>
      <c r="H57" s="32"/>
      <c r="I57" s="34"/>
      <c r="J57" s="31"/>
      <c r="K57" s="35"/>
      <c r="L57" s="36"/>
      <c r="M57" s="37"/>
      <c r="N57" s="172"/>
      <c r="Q57" s="38"/>
    </row>
    <row r="58" spans="1:19" x14ac:dyDescent="0.25">
      <c r="A58" s="29"/>
      <c r="B58" s="30"/>
      <c r="C58" s="31"/>
      <c r="D58" s="32"/>
      <c r="E58" s="33"/>
      <c r="F58" s="32"/>
      <c r="G58" s="32"/>
      <c r="H58" s="32"/>
      <c r="I58" s="34"/>
      <c r="J58" s="31"/>
      <c r="K58" s="35"/>
      <c r="L58" s="36"/>
      <c r="M58" s="37"/>
      <c r="N58" s="172"/>
      <c r="Q58" s="38"/>
    </row>
    <row r="59" spans="1:19" x14ac:dyDescent="0.25">
      <c r="A59" s="29"/>
      <c r="B59" s="30"/>
      <c r="C59" s="31"/>
      <c r="D59" s="32"/>
      <c r="E59" s="33"/>
      <c r="F59" s="32"/>
      <c r="G59" s="32"/>
      <c r="H59" s="32"/>
      <c r="I59" s="34"/>
      <c r="J59" s="31"/>
      <c r="K59" s="35"/>
      <c r="L59" s="36"/>
      <c r="M59" s="37"/>
      <c r="N59" s="172"/>
      <c r="Q59" s="38"/>
    </row>
    <row r="60" spans="1:19" x14ac:dyDescent="0.25">
      <c r="A60" s="29"/>
      <c r="B60" s="30"/>
      <c r="C60" s="31"/>
      <c r="D60" s="32"/>
      <c r="E60" s="33"/>
      <c r="F60" s="32"/>
      <c r="G60" s="32"/>
      <c r="H60" s="32"/>
      <c r="I60" s="34"/>
      <c r="J60" s="31"/>
      <c r="K60" s="35"/>
      <c r="L60" s="36"/>
      <c r="M60" s="37"/>
      <c r="N60" s="172"/>
      <c r="Q60" s="38"/>
    </row>
    <row r="61" spans="1:19" x14ac:dyDescent="0.25">
      <c r="A61" s="29"/>
      <c r="B61" s="30"/>
      <c r="C61" s="31"/>
      <c r="D61" s="32"/>
      <c r="E61" s="33"/>
      <c r="F61" s="32"/>
      <c r="G61" s="32"/>
      <c r="H61" s="32"/>
      <c r="I61" s="34"/>
      <c r="J61" s="31"/>
      <c r="K61" s="35"/>
      <c r="L61" s="36"/>
      <c r="M61" s="37"/>
      <c r="N61" s="172"/>
      <c r="Q61" s="38"/>
    </row>
    <row r="62" spans="1:19" x14ac:dyDescent="0.25">
      <c r="A62" s="43"/>
      <c r="B62" s="44"/>
      <c r="C62" s="45"/>
      <c r="D62" s="46"/>
      <c r="E62" s="47"/>
      <c r="F62" s="46"/>
      <c r="G62" s="46"/>
      <c r="H62" s="46"/>
      <c r="I62" s="48"/>
      <c r="J62" s="45"/>
      <c r="K62" s="49"/>
      <c r="L62" s="50"/>
      <c r="M62" s="51"/>
      <c r="N62" s="277"/>
      <c r="O62" s="20"/>
      <c r="P62" s="20"/>
      <c r="Q62" s="39"/>
    </row>
    <row r="63" spans="1:19" ht="9.4" customHeight="1" x14ac:dyDescent="0.25">
      <c r="A63" s="40" t="s">
        <v>261</v>
      </c>
      <c r="L63" s="41"/>
      <c r="M63" s="42"/>
      <c r="N63" s="42"/>
      <c r="Q63" s="42">
        <f>cal!Q63</f>
        <v>0</v>
      </c>
      <c r="R63" s="42"/>
      <c r="S63" s="42"/>
    </row>
    <row r="64" spans="1:19" ht="9.4" customHeight="1" x14ac:dyDescent="0.25">
      <c r="A64" s="40" t="s">
        <v>33</v>
      </c>
    </row>
    <row r="65" spans="1:1" ht="9.4" customHeight="1" x14ac:dyDescent="0.25">
      <c r="A65" s="40" t="s">
        <v>34</v>
      </c>
    </row>
    <row r="66" spans="1:1" ht="9.4" customHeight="1" x14ac:dyDescent="0.25">
      <c r="A66" s="40" t="s">
        <v>291</v>
      </c>
    </row>
  </sheetData>
  <sheetProtection selectLockedCells="1"/>
  <mergeCells count="27">
    <mergeCell ref="A47:L47"/>
    <mergeCell ref="M47:Q47"/>
    <mergeCell ref="A55:L55"/>
    <mergeCell ref="M55:Q55"/>
    <mergeCell ref="S7:T7"/>
    <mergeCell ref="A10:C10"/>
    <mergeCell ref="F10:I10"/>
    <mergeCell ref="A15:L15"/>
    <mergeCell ref="M15:Q15"/>
    <mergeCell ref="A23:L23"/>
    <mergeCell ref="M23:Q23"/>
    <mergeCell ref="A31:L31"/>
    <mergeCell ref="M31:Q31"/>
    <mergeCell ref="A39:L39"/>
    <mergeCell ref="M39:Q39"/>
    <mergeCell ref="L6:M6"/>
    <mergeCell ref="L7:M7"/>
    <mergeCell ref="L9:M9"/>
    <mergeCell ref="L10:M10"/>
    <mergeCell ref="Q7:R7"/>
    <mergeCell ref="Q8:R10"/>
    <mergeCell ref="G4:J4"/>
    <mergeCell ref="G3:J3"/>
    <mergeCell ref="A8:C8"/>
    <mergeCell ref="F8:I8"/>
    <mergeCell ref="A9:C9"/>
    <mergeCell ref="F9:I9"/>
  </mergeCells>
  <dataValidations count="7">
    <dataValidation type="whole" errorStyle="information" allowBlank="1" showErrorMessage="1" error="Eingabe außerhalb des gültigen Bereichs." prompt="20°C bis 35°C" sqref="J10" xr:uid="{00000000-0002-0000-0500-000000000000}">
      <formula1>20</formula1>
      <formula2>35</formula2>
    </dataValidation>
    <dataValidation type="whole" errorStyle="information" allowBlank="1" showErrorMessage="1" error="Eingabe außerhalb des gültigen Bereichs." prompt="Eingabe zwischen 16°C bis 30°C" sqref="D10" xr:uid="{00000000-0002-0000-0500-000001000000}">
      <formula1>16</formula1>
      <formula2>30</formula2>
    </dataValidation>
    <dataValidation type="whole" errorStyle="information" allowBlank="1" showErrorMessage="1" error="Eingabe außerhalb des gültigen Bereichs." prompt="Eingabe zwischen Vorlauftemp. und Raumtemp." sqref="D9" xr:uid="{00000000-0002-0000-0500-000002000000}">
      <formula1>D10</formula1>
      <formula2>D8</formula2>
    </dataValidation>
    <dataValidation type="whole" errorStyle="information" allowBlank="1" showErrorMessage="1" error="Temperatur außerhalb des gütligen Bereichs." prompt="Eingabe zwischen 30°C bis 95°C" sqref="D8" xr:uid="{00000000-0002-0000-0500-000003000000}">
      <formula1>30</formula1>
      <formula2>95</formula2>
    </dataValidation>
    <dataValidation type="whole" errorStyle="information" allowBlank="1" showErrorMessage="1" error="Eingabe außerhalb des gültigen Bereichs." prompt="Eingabe zwischen Vorlauftemp. und Raumtemp." sqref="J9" xr:uid="{00000000-0002-0000-0500-000004000000}">
      <formula1>J8</formula1>
      <formula2>J10</formula2>
    </dataValidation>
    <dataValidation type="whole" errorStyle="information" allowBlank="1" showErrorMessage="1" error="Eingabe außerhalb des gültigen Bereichs." prompt="Eingabe zwischen 5°C bis 20°C" sqref="J8" xr:uid="{00000000-0002-0000-0500-000005000000}">
      <formula1>5</formula1>
      <formula2>20</formula2>
    </dataValidation>
    <dataValidation type="decimal" errorStyle="information" allowBlank="1" showErrorMessage="1" error="Eingabe außerhalb des gültigen Bereichs." prompt="20°C bis 35°C" sqref="J11" xr:uid="{00000000-0002-0000-0500-000006000000}">
      <formula1>0.01</formula1>
      <formula2>1</formula2>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NR"/>
  <dimension ref="A1:W66"/>
  <sheetViews>
    <sheetView workbookViewId="0">
      <selection activeCell="K2" sqref="K2:M2"/>
    </sheetView>
  </sheetViews>
  <sheetFormatPr defaultColWidth="11.42578125" defaultRowHeight="15" x14ac:dyDescent="0.25"/>
  <cols>
    <col min="1" max="1" width="7" style="2" customWidth="1"/>
    <col min="2" max="2" width="6.140625" style="2" customWidth="1"/>
    <col min="3" max="3" width="7" style="2" customWidth="1"/>
    <col min="4" max="4" width="6.7109375" style="2" customWidth="1"/>
    <col min="5" max="19" width="7" style="2" customWidth="1"/>
    <col min="20" max="16384" width="11.42578125" style="2"/>
  </cols>
  <sheetData>
    <row r="1" spans="1:23" x14ac:dyDescent="0.25">
      <c r="A1" s="1"/>
    </row>
    <row r="2" spans="1:23" x14ac:dyDescent="0.25">
      <c r="A2" s="213" t="s">
        <v>126</v>
      </c>
      <c r="B2" s="4"/>
    </row>
    <row r="3" spans="1:23" x14ac:dyDescent="0.25">
      <c r="A3" s="1"/>
      <c r="G3" s="684" t="s">
        <v>174</v>
      </c>
      <c r="H3" s="622">
        <v>0</v>
      </c>
      <c r="I3" s="622">
        <v>0</v>
      </c>
      <c r="J3" s="623">
        <v>0</v>
      </c>
    </row>
    <row r="4" spans="1:23" x14ac:dyDescent="0.25">
      <c r="A4" s="5"/>
      <c r="G4" s="684" t="s">
        <v>124</v>
      </c>
      <c r="H4" s="622">
        <v>0</v>
      </c>
      <c r="I4" s="622">
        <v>0</v>
      </c>
      <c r="J4" s="623">
        <v>0</v>
      </c>
    </row>
    <row r="5" spans="1:23" ht="6" customHeight="1" thickBot="1" x14ac:dyDescent="0.3">
      <c r="A5" s="6"/>
      <c r="B5" s="7"/>
      <c r="C5" s="7"/>
      <c r="D5" s="7"/>
      <c r="E5" s="7"/>
      <c r="F5" s="7"/>
      <c r="G5" s="7"/>
      <c r="H5" s="7"/>
      <c r="I5" s="7"/>
      <c r="J5" s="7"/>
      <c r="K5" s="7"/>
      <c r="L5" s="7"/>
      <c r="M5" s="7"/>
      <c r="N5" s="7"/>
      <c r="O5" s="7"/>
      <c r="P5" s="7"/>
      <c r="Q5" s="8"/>
      <c r="R5" s="10"/>
      <c r="S5" s="10"/>
    </row>
    <row r="6" spans="1:23" ht="15.75" thickBot="1" x14ac:dyDescent="0.3">
      <c r="A6" s="9" t="s">
        <v>122</v>
      </c>
      <c r="B6" s="10"/>
      <c r="C6" s="10"/>
      <c r="D6" s="10"/>
      <c r="E6" s="10"/>
      <c r="F6" s="10"/>
      <c r="G6" s="10"/>
      <c r="H6" s="10"/>
      <c r="I6" s="10"/>
      <c r="J6" s="10"/>
      <c r="K6" s="10"/>
      <c r="L6" s="686" t="s">
        <v>194</v>
      </c>
      <c r="M6" s="687"/>
      <c r="N6" s="274"/>
      <c r="O6" s="10"/>
      <c r="P6" s="10"/>
      <c r="Q6" s="11"/>
      <c r="R6" s="10"/>
      <c r="S6" s="10"/>
    </row>
    <row r="7" spans="1:23" ht="15.75" thickBot="1" x14ac:dyDescent="0.3">
      <c r="A7" s="9" t="s">
        <v>123</v>
      </c>
      <c r="B7" s="10"/>
      <c r="C7" s="10"/>
      <c r="D7" s="10"/>
      <c r="E7" s="10"/>
      <c r="F7" s="12" t="s">
        <v>121</v>
      </c>
      <c r="G7" s="12"/>
      <c r="H7" s="12"/>
      <c r="I7" s="12"/>
      <c r="J7" s="10"/>
      <c r="K7" s="10"/>
      <c r="L7" s="636"/>
      <c r="M7" s="637"/>
      <c r="N7" s="275"/>
      <c r="O7" s="10"/>
      <c r="P7" s="10"/>
      <c r="Q7" s="552" t="s">
        <v>199</v>
      </c>
      <c r="R7" s="553"/>
      <c r="S7" s="552" t="s">
        <v>311</v>
      </c>
      <c r="T7" s="553"/>
    </row>
    <row r="8" spans="1:23" ht="15.75" thickBot="1" x14ac:dyDescent="0.3">
      <c r="A8" s="685" t="s">
        <v>183</v>
      </c>
      <c r="B8" s="613">
        <v>0</v>
      </c>
      <c r="C8" s="613">
        <v>0</v>
      </c>
      <c r="D8" s="13">
        <f>cal!E10</f>
        <v>65</v>
      </c>
      <c r="E8" s="52" t="str">
        <f>IF(cal!$Z$5=1,"°C",IF(cal!$Z$5=2,"°F"))</f>
        <v>°C</v>
      </c>
      <c r="F8" s="613" t="str">
        <f>A8</f>
        <v>Tur vann</v>
      </c>
      <c r="G8" s="613"/>
      <c r="H8" s="613"/>
      <c r="I8" s="613"/>
      <c r="J8" s="13">
        <f>cal!K10</f>
        <v>16</v>
      </c>
      <c r="K8" s="10" t="str">
        <f>E8</f>
        <v>°C</v>
      </c>
      <c r="L8" s="10"/>
      <c r="M8" s="10"/>
      <c r="N8" s="10"/>
      <c r="O8" s="10"/>
      <c r="P8" s="10"/>
      <c r="Q8" s="643"/>
      <c r="R8" s="644"/>
      <c r="S8" s="10"/>
    </row>
    <row r="9" spans="1:23" ht="15.75" thickBot="1" x14ac:dyDescent="0.3">
      <c r="A9" s="685" t="s">
        <v>182</v>
      </c>
      <c r="B9" s="613">
        <v>0</v>
      </c>
      <c r="C9" s="613">
        <v>0</v>
      </c>
      <c r="D9" s="13">
        <f>cal!E11</f>
        <v>55</v>
      </c>
      <c r="E9" s="52" t="str">
        <f>E8</f>
        <v>°C</v>
      </c>
      <c r="F9" s="613" t="str">
        <f>A9</f>
        <v>Retur vann</v>
      </c>
      <c r="G9" s="613"/>
      <c r="H9" s="613"/>
      <c r="I9" s="613"/>
      <c r="J9" s="13">
        <f>cal!K11</f>
        <v>18</v>
      </c>
      <c r="K9" s="10" t="str">
        <f>E8</f>
        <v>°C</v>
      </c>
      <c r="L9" s="686" t="s">
        <v>193</v>
      </c>
      <c r="M9" s="687"/>
      <c r="N9" s="274"/>
      <c r="O9" s="10"/>
      <c r="P9" s="10"/>
      <c r="Q9" s="645"/>
      <c r="R9" s="646"/>
      <c r="S9" s="10"/>
    </row>
    <row r="10" spans="1:23" ht="15.75" thickBot="1" x14ac:dyDescent="0.3">
      <c r="A10" s="685" t="s">
        <v>202</v>
      </c>
      <c r="B10" s="613">
        <v>0</v>
      </c>
      <c r="C10" s="613">
        <v>0</v>
      </c>
      <c r="D10" s="13">
        <f>cal!E12</f>
        <v>20</v>
      </c>
      <c r="E10" s="52" t="str">
        <f>E8</f>
        <v>°C</v>
      </c>
      <c r="F10" s="613" t="str">
        <f>A10</f>
        <v>Rom (tørr pære)</v>
      </c>
      <c r="G10" s="613"/>
      <c r="H10" s="613"/>
      <c r="I10" s="613"/>
      <c r="J10" s="13">
        <f>cal!K12</f>
        <v>27</v>
      </c>
      <c r="K10" s="10" t="str">
        <f>E8</f>
        <v>°C</v>
      </c>
      <c r="L10" s="641"/>
      <c r="M10" s="642"/>
      <c r="N10" s="276"/>
      <c r="O10" s="10"/>
      <c r="P10" s="10"/>
      <c r="Q10" s="647"/>
      <c r="R10" s="648"/>
      <c r="S10" s="10"/>
      <c r="U10" t="s">
        <v>329</v>
      </c>
    </row>
    <row r="11" spans="1:23" x14ac:dyDescent="0.25">
      <c r="A11" s="14" t="s">
        <v>203</v>
      </c>
      <c r="B11" s="10"/>
      <c r="C11" s="10"/>
      <c r="D11" s="10"/>
      <c r="E11" s="10"/>
      <c r="F11" s="613" t="s">
        <v>296</v>
      </c>
      <c r="G11" s="613"/>
      <c r="H11" s="613"/>
      <c r="I11" s="614"/>
      <c r="J11" s="15">
        <f>cal!K14</f>
        <v>0.5</v>
      </c>
      <c r="K11" s="10"/>
      <c r="L11" s="10"/>
      <c r="M11" s="10"/>
      <c r="N11" s="10"/>
      <c r="O11" s="10"/>
      <c r="P11" s="10"/>
      <c r="Q11" s="11"/>
      <c r="R11" s="10"/>
      <c r="S11" s="10"/>
      <c r="U11" t="s">
        <v>330</v>
      </c>
    </row>
    <row r="12" spans="1:23" ht="6" customHeight="1" x14ac:dyDescent="0.25">
      <c r="A12" s="16"/>
      <c r="B12" s="17"/>
      <c r="C12" s="17"/>
      <c r="D12" s="17"/>
      <c r="E12" s="18"/>
      <c r="F12" s="18"/>
      <c r="G12" s="18"/>
      <c r="H12" s="18"/>
      <c r="I12" s="18"/>
      <c r="J12" s="18"/>
      <c r="K12" s="18"/>
      <c r="L12" s="18"/>
      <c r="M12" s="18"/>
      <c r="N12" s="18"/>
      <c r="O12" s="18"/>
      <c r="P12" s="18"/>
      <c r="Q12" s="19"/>
      <c r="R12" s="10"/>
      <c r="S12" s="10"/>
    </row>
    <row r="13" spans="1:23" x14ac:dyDescent="0.25">
      <c r="A13" s="20"/>
      <c r="B13" s="20"/>
      <c r="C13" s="20"/>
      <c r="D13" s="20"/>
      <c r="E13" s="20"/>
      <c r="F13" s="20"/>
      <c r="G13" s="20"/>
      <c r="H13" s="20"/>
      <c r="I13" s="20"/>
      <c r="J13" s="20"/>
      <c r="K13" s="20"/>
      <c r="L13" s="20"/>
      <c r="M13" s="20"/>
    </row>
    <row r="14" spans="1:23" s="28" customFormat="1" ht="95.45" customHeight="1" x14ac:dyDescent="0.25">
      <c r="A14" s="21" t="s">
        <v>375</v>
      </c>
      <c r="B14" s="22" t="s">
        <v>376</v>
      </c>
      <c r="C14" s="21" t="str">
        <f>CONCATENATE("Varme effekt * ",ROUND(D8,0),"/",ROUND(D9,0),"/",ROUND(D10,0)," ["&amp;IF(cal!$Z$5=1,"W",IF(cal!$Z$5=2,"Btu/h"))&amp;"]")</f>
        <v>Varme effekt * 65/55/20 [W]</v>
      </c>
      <c r="D14" s="23" t="str">
        <f>"Vannmengde, varme ["&amp;IF(cal!$Z$5=1,"l/h",IF(cal!$Z$5=2,"GPM"))&amp;"]"</f>
        <v>Vannmengde, varme [l/h]</v>
      </c>
      <c r="E14" s="27" t="str">
        <f>"Trykktap ["&amp;IF(cal!$Z$5=1,"kPa",IF(cal!$Z$5=2,"ftH2O"))&amp;"]"</f>
        <v>Trykktap [kPa]</v>
      </c>
      <c r="F14" s="22" t="str">
        <f>CONCATENATE("Sens. Kjøling effekt * ",ROUND(J8,0),"/",ROUND(J9,0),"/",ROUND(J10,0)," ["&amp;IF(cal!$Z$5=1,"W",IF(cal!$Z$5=2,"Btu/h"))&amp;"]")</f>
        <v>Sens. Kjøling effekt * 16/18/27 [W]</v>
      </c>
      <c r="G14" s="22" t="str">
        <f>CONCATENATE("Tot. Kjøle effekt * ",ROUND(J8,0),"/",ROUND(J9,0),"/",ROUND(J10,0)," ["&amp;IF(cal!$Z$5=1,"W",IF(cal!$Z$5=2,"Btu/h"))&amp;"]")</f>
        <v>Tot. Kjøle effekt * 16/18/27 [W]</v>
      </c>
      <c r="H14" s="22" t="str">
        <f>"Vannmengde, kjøling ["&amp;IF(cal!$Z$5=1,"l/h",IF(cal!$Z$5=2,"GPM"))&amp;"]"</f>
        <v>Vannmengde, kjøling [l/h]</v>
      </c>
      <c r="I14" s="22" t="str">
        <f>E14</f>
        <v>Trykktap [kPa]</v>
      </c>
      <c r="J14" s="21" t="s">
        <v>118</v>
      </c>
      <c r="K14" s="26" t="s">
        <v>119</v>
      </c>
      <c r="L14" s="22" t="s">
        <v>120</v>
      </c>
      <c r="M14" s="27" t="str">
        <f>"Luftmengde ["&amp;IF(cal!$Z$5=1,"m³/h",IF(cal!$Z$5=2,"CFM"))&amp;"]"</f>
        <v>Luftmengde [m³/h]</v>
      </c>
      <c r="N14" s="27" t="str">
        <f>"Flyhastighet ["&amp;IF(cal!$Z$5=1,"m/s",IF(cal!$Z$5=2,"ft/min"))&amp;"]"</f>
        <v>Flyhastighet [m/s]</v>
      </c>
      <c r="O14" s="209" t="str">
        <f>"Utluft temperatur, Varme ["&amp;IF(cal!$Z$5=1,"°C",IF(cal!$Z$5=2,"°F"))&amp;"]"</f>
        <v>Utluft temperatur, Varme [°C]</v>
      </c>
      <c r="P14" s="209" t="str">
        <f>"Utluft temperatur, (våte pære) Varme ["&amp;IF(cal!$Z$5=1,"°C",IF(cal!$Z$5=2,"°F"))&amp;"]"</f>
        <v>Utluft temperatur, (våte pære) Varme [°C]</v>
      </c>
      <c r="Q14" s="210" t="str">
        <f>"Utluft temperatur, (tørr pære) Kjøling ["&amp;IF(cal!$Z$5=1,"°C",IF(cal!$Z$5=2,"°F"))&amp;"]"</f>
        <v>Utluft temperatur, (tørr pære) Kjøling [°C]</v>
      </c>
      <c r="R14" s="210" t="str">
        <f>"Utluft temperatur, (våte pære) Kjøling ["&amp;IF(cal!$Z$5=1,"°C",IF(cal!$Z$5=2,"°F"))&amp;"]"</f>
        <v>Utluft temperatur, (våte pære) Kjøling [°C]</v>
      </c>
      <c r="S14" s="211" t="s">
        <v>136</v>
      </c>
      <c r="T14" s="211" t="s">
        <v>301</v>
      </c>
      <c r="U14" t="s">
        <v>362</v>
      </c>
    </row>
    <row r="15" spans="1:23" ht="18" customHeight="1" x14ac:dyDescent="0.25">
      <c r="A15" s="688" t="str">
        <f>cal!$AK$7&amp;" "&amp;$V$16&amp;" "&amp;ROUND(cal!BK23,1)&amp;IF(cal!$Z$5=1," cm, ",IF(cal!$Z$5=2," in, "))&amp;$V$17&amp;" "&amp;ROUND(cal!BL23,1)&amp;IF(cal!$Z$5=1," cm, ",IF(cal!$Z$5=2," in, "))&amp;$V$18&amp;" "&amp;ROUND(cal!BM23,1)&amp;IF(cal!$Z$5=1," cm ",IF(cal!$Z$5=2," in "))&amp;$S15</f>
        <v>Briza 22 (230V) høyde 54,5 cm, bredde 22 cm, lengde 55 cm (Type 02)</v>
      </c>
      <c r="B15" s="689"/>
      <c r="C15" s="689"/>
      <c r="D15" s="689"/>
      <c r="E15" s="689"/>
      <c r="F15" s="689"/>
      <c r="G15" s="689"/>
      <c r="H15" s="689"/>
      <c r="I15" s="689"/>
      <c r="J15" s="689"/>
      <c r="K15" s="689"/>
      <c r="L15" s="689"/>
      <c r="M15" s="690" t="str">
        <f>$U$27</f>
        <v>Ordrekode:</v>
      </c>
      <c r="N15" s="690"/>
      <c r="O15" s="690"/>
      <c r="P15" s="690"/>
      <c r="Q15" s="691"/>
      <c r="R15" s="207"/>
      <c r="S15" s="207" t="s">
        <v>226</v>
      </c>
    </row>
    <row r="16" spans="1:23" x14ac:dyDescent="0.25">
      <c r="A16" s="29"/>
      <c r="B16" s="30"/>
      <c r="C16" s="31"/>
      <c r="D16" s="32"/>
      <c r="E16" s="33"/>
      <c r="F16" s="32"/>
      <c r="G16" s="32"/>
      <c r="H16" s="32"/>
      <c r="I16" s="34"/>
      <c r="J16" s="31"/>
      <c r="K16" s="35"/>
      <c r="L16" s="36"/>
      <c r="M16" s="37"/>
      <c r="N16" s="172"/>
      <c r="Q16" s="38"/>
      <c r="U16" s="2" t="s">
        <v>125</v>
      </c>
      <c r="V16" s="2" t="s">
        <v>244</v>
      </c>
      <c r="W16" s="517" t="s">
        <v>428</v>
      </c>
    </row>
    <row r="17" spans="1:23" x14ac:dyDescent="0.25">
      <c r="A17" s="29"/>
      <c r="B17" s="30"/>
      <c r="C17" s="31"/>
      <c r="D17" s="32"/>
      <c r="E17" s="33"/>
      <c r="F17" s="32"/>
      <c r="G17" s="32"/>
      <c r="H17" s="32"/>
      <c r="I17" s="34"/>
      <c r="J17" s="31"/>
      <c r="K17" s="35"/>
      <c r="L17" s="36"/>
      <c r="M17" s="37"/>
      <c r="N17" s="172"/>
      <c r="Q17" s="38"/>
      <c r="U17" s="2" t="s">
        <v>165</v>
      </c>
      <c r="V17" s="2" t="s">
        <v>245</v>
      </c>
      <c r="W17" s="517" t="s">
        <v>387</v>
      </c>
    </row>
    <row r="18" spans="1:23" x14ac:dyDescent="0.25">
      <c r="A18" s="29"/>
      <c r="B18" s="30"/>
      <c r="C18" s="31"/>
      <c r="D18" s="32"/>
      <c r="E18" s="33"/>
      <c r="F18" s="32"/>
      <c r="G18" s="32"/>
      <c r="H18" s="32"/>
      <c r="I18" s="34"/>
      <c r="J18" s="31"/>
      <c r="K18" s="35"/>
      <c r="L18" s="36"/>
      <c r="M18" s="37"/>
      <c r="N18" s="172"/>
      <c r="Q18" s="38"/>
      <c r="U18" s="2" t="s">
        <v>162</v>
      </c>
      <c r="V18" s="2" t="s">
        <v>246</v>
      </c>
      <c r="W18" s="517" t="s">
        <v>429</v>
      </c>
    </row>
    <row r="19" spans="1:23" x14ac:dyDescent="0.25">
      <c r="A19" s="29"/>
      <c r="B19" s="30"/>
      <c r="C19" s="31"/>
      <c r="D19" s="32"/>
      <c r="E19" s="33"/>
      <c r="F19" s="32"/>
      <c r="G19" s="32"/>
      <c r="H19" s="32"/>
      <c r="I19" s="34"/>
      <c r="J19" s="31"/>
      <c r="K19" s="35"/>
      <c r="L19" s="36"/>
      <c r="M19" s="37"/>
      <c r="N19" s="172"/>
      <c r="Q19" s="38"/>
      <c r="U19" s="2" t="s">
        <v>163</v>
      </c>
      <c r="W19" s="2" t="s">
        <v>498</v>
      </c>
    </row>
    <row r="20" spans="1:23" x14ac:dyDescent="0.25">
      <c r="A20" s="29"/>
      <c r="B20" s="30"/>
      <c r="C20" s="31"/>
      <c r="D20" s="32"/>
      <c r="E20" s="33"/>
      <c r="F20" s="32"/>
      <c r="G20" s="32"/>
      <c r="H20" s="32"/>
      <c r="I20" s="34"/>
      <c r="J20" s="31"/>
      <c r="K20" s="35"/>
      <c r="L20" s="36"/>
      <c r="M20" s="37"/>
      <c r="N20" s="172"/>
      <c r="Q20" s="38"/>
      <c r="W20" s="2" t="s">
        <v>499</v>
      </c>
    </row>
    <row r="21" spans="1:23" x14ac:dyDescent="0.25">
      <c r="A21" s="29"/>
      <c r="B21" s="30"/>
      <c r="C21" s="31"/>
      <c r="D21" s="32"/>
      <c r="E21" s="33"/>
      <c r="F21" s="32"/>
      <c r="G21" s="32"/>
      <c r="H21" s="32"/>
      <c r="I21" s="34"/>
      <c r="J21" s="31"/>
      <c r="K21" s="35"/>
      <c r="L21" s="36"/>
      <c r="M21" s="37"/>
      <c r="N21" s="172"/>
      <c r="Q21" s="38"/>
      <c r="W21" s="2" t="s">
        <v>500</v>
      </c>
    </row>
    <row r="22" spans="1:23" x14ac:dyDescent="0.25">
      <c r="A22" s="43"/>
      <c r="B22" s="44"/>
      <c r="C22" s="45"/>
      <c r="D22" s="46"/>
      <c r="E22" s="47"/>
      <c r="F22" s="46"/>
      <c r="G22" s="46"/>
      <c r="H22" s="46"/>
      <c r="I22" s="48"/>
      <c r="J22" s="45"/>
      <c r="K22" s="49"/>
      <c r="L22" s="50"/>
      <c r="M22" s="51"/>
      <c r="N22" s="277"/>
      <c r="O22" s="20"/>
      <c r="P22" s="20"/>
      <c r="Q22" s="39"/>
      <c r="U22" s="2" t="s">
        <v>338</v>
      </c>
      <c r="W22" s="2" t="s">
        <v>501</v>
      </c>
    </row>
    <row r="23" spans="1:23" ht="16.899999999999999" customHeight="1" x14ac:dyDescent="0.25">
      <c r="A23" s="688" t="str">
        <f>cal!$AK$7&amp;" "&amp;$V$16&amp;" "&amp;ROUND(cal!BK31,1)&amp;IF(cal!$Z$5=1," cm, ",IF(cal!$Z$5=2," in, "))&amp;$V$17&amp;" "&amp;ROUND(cal!BL31,1)&amp;IF(cal!$Z$5=1," cm, ",IF(cal!$Z$5=2," in, "))&amp;$V$18&amp;" "&amp;ROUND(cal!BM31,1)&amp;IF(cal!$Z$5=1," cm ",IF(cal!$Z$5=2," in "))&amp;$S23</f>
        <v>Briza 22 (230V) høyde 54,5 cm, bredde 22 cm, lengde 75 cm (Type 03)</v>
      </c>
      <c r="B23" s="689"/>
      <c r="C23" s="689"/>
      <c r="D23" s="689"/>
      <c r="E23" s="689"/>
      <c r="F23" s="689"/>
      <c r="G23" s="689"/>
      <c r="H23" s="689"/>
      <c r="I23" s="689"/>
      <c r="J23" s="689"/>
      <c r="K23" s="689"/>
      <c r="L23" s="689"/>
      <c r="M23" s="690" t="str">
        <f>$U$27</f>
        <v>Ordrekode:</v>
      </c>
      <c r="N23" s="690"/>
      <c r="O23" s="690"/>
      <c r="P23" s="690"/>
      <c r="Q23" s="691"/>
      <c r="R23" s="207"/>
      <c r="S23" s="207" t="s">
        <v>227</v>
      </c>
      <c r="W23" s="2" t="s">
        <v>502</v>
      </c>
    </row>
    <row r="24" spans="1:23" x14ac:dyDescent="0.25">
      <c r="A24" s="29"/>
      <c r="B24" s="30"/>
      <c r="C24" s="31"/>
      <c r="D24" s="32"/>
      <c r="E24" s="33"/>
      <c r="F24" s="32"/>
      <c r="G24" s="32"/>
      <c r="H24" s="32"/>
      <c r="I24" s="34"/>
      <c r="J24" s="31"/>
      <c r="K24" s="35"/>
      <c r="L24" s="36"/>
      <c r="M24" s="37"/>
      <c r="N24" s="172"/>
      <c r="Q24" s="38"/>
      <c r="U24" t="s">
        <v>348</v>
      </c>
    </row>
    <row r="25" spans="1:23" x14ac:dyDescent="0.25">
      <c r="A25" s="29"/>
      <c r="B25" s="30"/>
      <c r="C25" s="31"/>
      <c r="D25" s="32"/>
      <c r="E25" s="33"/>
      <c r="F25" s="32"/>
      <c r="G25" s="32"/>
      <c r="H25" s="32"/>
      <c r="I25" s="34"/>
      <c r="J25" s="31"/>
      <c r="K25" s="35"/>
      <c r="L25" s="36"/>
      <c r="M25" s="37"/>
      <c r="N25" s="172"/>
      <c r="Q25" s="38"/>
      <c r="U25" t="s">
        <v>349</v>
      </c>
    </row>
    <row r="26" spans="1:23" x14ac:dyDescent="0.25">
      <c r="A26" s="29"/>
      <c r="B26" s="30"/>
      <c r="C26" s="31"/>
      <c r="D26" s="32"/>
      <c r="E26" s="33"/>
      <c r="F26" s="32"/>
      <c r="G26" s="32"/>
      <c r="H26" s="32"/>
      <c r="I26" s="34"/>
      <c r="J26" s="31"/>
      <c r="K26" s="35"/>
      <c r="L26" s="36"/>
      <c r="M26" s="37"/>
      <c r="N26" s="172"/>
      <c r="Q26" s="38"/>
    </row>
    <row r="27" spans="1:23" x14ac:dyDescent="0.25">
      <c r="A27" s="29"/>
      <c r="B27" s="30"/>
      <c r="C27" s="31"/>
      <c r="D27" s="32"/>
      <c r="E27" s="33"/>
      <c r="F27" s="32"/>
      <c r="G27" s="32"/>
      <c r="H27" s="32"/>
      <c r="I27" s="34"/>
      <c r="J27" s="31"/>
      <c r="K27" s="35"/>
      <c r="L27" s="36"/>
      <c r="M27" s="37"/>
      <c r="N27" s="172"/>
      <c r="Q27" s="38"/>
      <c r="U27" s="2" t="s">
        <v>356</v>
      </c>
    </row>
    <row r="28" spans="1:23" x14ac:dyDescent="0.25">
      <c r="A28" s="29"/>
      <c r="B28" s="30"/>
      <c r="C28" s="31"/>
      <c r="D28" s="32"/>
      <c r="E28" s="33"/>
      <c r="F28" s="32"/>
      <c r="G28" s="32"/>
      <c r="H28" s="32"/>
      <c r="I28" s="34"/>
      <c r="J28" s="31"/>
      <c r="K28" s="35"/>
      <c r="L28" s="36"/>
      <c r="M28" s="37"/>
      <c r="N28" s="172"/>
      <c r="Q28" s="38"/>
    </row>
    <row r="29" spans="1:23" x14ac:dyDescent="0.25">
      <c r="A29" s="29"/>
      <c r="B29" s="30"/>
      <c r="C29" s="31"/>
      <c r="D29" s="32"/>
      <c r="E29" s="33"/>
      <c r="F29" s="32"/>
      <c r="G29" s="32"/>
      <c r="H29" s="32"/>
      <c r="I29" s="34"/>
      <c r="J29" s="31"/>
      <c r="K29" s="35"/>
      <c r="L29" s="36"/>
      <c r="M29" s="37"/>
      <c r="N29" s="172"/>
      <c r="Q29" s="38"/>
    </row>
    <row r="30" spans="1:23" x14ac:dyDescent="0.25">
      <c r="A30" s="43"/>
      <c r="B30" s="44"/>
      <c r="C30" s="45"/>
      <c r="D30" s="46"/>
      <c r="E30" s="47"/>
      <c r="F30" s="46"/>
      <c r="G30" s="46"/>
      <c r="H30" s="46"/>
      <c r="I30" s="48"/>
      <c r="J30" s="45"/>
      <c r="K30" s="49"/>
      <c r="L30" s="50"/>
      <c r="M30" s="51"/>
      <c r="N30" s="277"/>
      <c r="O30" s="20"/>
      <c r="P30" s="20"/>
      <c r="Q30" s="39"/>
    </row>
    <row r="31" spans="1:23" ht="18" customHeight="1" x14ac:dyDescent="0.25">
      <c r="A31" s="688" t="str">
        <f>cal!$AK$7&amp;" "&amp;$V$16&amp;" "&amp;ROUND(cal!BK39,1)&amp;IF(cal!$Z$5=1," cm, ",IF(cal!$Z$5=2," in, "))&amp;$V$17&amp;" "&amp;ROUND(cal!BL39,1)&amp;IF(cal!$Z$5=1," cm, ",IF(cal!$Z$5=2," in, "))&amp;$V$18&amp;" "&amp;ROUND(cal!BM39,1)&amp;IF(cal!$Z$5=1," cm ",IF(cal!$Z$5=2," in "))&amp;$S31</f>
        <v>Briza 22 (230V) høyde 54,5 cm, bredde 22 cm, lengde 95 cm (Type 04)</v>
      </c>
      <c r="B31" s="689"/>
      <c r="C31" s="689"/>
      <c r="D31" s="689"/>
      <c r="E31" s="689"/>
      <c r="F31" s="689"/>
      <c r="G31" s="689"/>
      <c r="H31" s="689"/>
      <c r="I31" s="689"/>
      <c r="J31" s="689"/>
      <c r="K31" s="689"/>
      <c r="L31" s="689"/>
      <c r="M31" s="690" t="str">
        <f>$U$27</f>
        <v>Ordrekode:</v>
      </c>
      <c r="N31" s="690"/>
      <c r="O31" s="690"/>
      <c r="P31" s="690"/>
      <c r="Q31" s="691"/>
      <c r="R31" s="207"/>
      <c r="S31" s="207" t="s">
        <v>228</v>
      </c>
    </row>
    <row r="32" spans="1:23" x14ac:dyDescent="0.25">
      <c r="A32" s="29"/>
      <c r="B32" s="30"/>
      <c r="C32" s="31"/>
      <c r="D32" s="32"/>
      <c r="E32" s="33"/>
      <c r="F32" s="32"/>
      <c r="G32" s="32"/>
      <c r="H32" s="32"/>
      <c r="I32" s="34"/>
      <c r="J32" s="31"/>
      <c r="K32" s="35"/>
      <c r="L32" s="36"/>
      <c r="M32" s="37"/>
      <c r="N32" s="172"/>
      <c r="Q32" s="38"/>
    </row>
    <row r="33" spans="1:19" x14ac:dyDescent="0.25">
      <c r="A33" s="29"/>
      <c r="B33" s="30"/>
      <c r="C33" s="31"/>
      <c r="D33" s="32"/>
      <c r="E33" s="33"/>
      <c r="F33" s="32"/>
      <c r="G33" s="32"/>
      <c r="H33" s="32"/>
      <c r="I33" s="34"/>
      <c r="J33" s="31"/>
      <c r="K33" s="35"/>
      <c r="L33" s="36"/>
      <c r="M33" s="37"/>
      <c r="N33" s="172"/>
      <c r="Q33" s="38"/>
    </row>
    <row r="34" spans="1:19" x14ac:dyDescent="0.25">
      <c r="A34" s="29"/>
      <c r="B34" s="30"/>
      <c r="C34" s="31"/>
      <c r="D34" s="32"/>
      <c r="E34" s="33"/>
      <c r="F34" s="32"/>
      <c r="G34" s="32"/>
      <c r="H34" s="32"/>
      <c r="I34" s="34"/>
      <c r="J34" s="31"/>
      <c r="K34" s="35"/>
      <c r="L34" s="36"/>
      <c r="M34" s="37"/>
      <c r="N34" s="172"/>
      <c r="Q34" s="38"/>
    </row>
    <row r="35" spans="1:19" x14ac:dyDescent="0.25">
      <c r="A35" s="29"/>
      <c r="B35" s="30"/>
      <c r="C35" s="31"/>
      <c r="D35" s="32"/>
      <c r="E35" s="33"/>
      <c r="F35" s="32"/>
      <c r="G35" s="32"/>
      <c r="H35" s="32"/>
      <c r="I35" s="34"/>
      <c r="J35" s="31"/>
      <c r="K35" s="35"/>
      <c r="L35" s="36"/>
      <c r="M35" s="37"/>
      <c r="N35" s="172"/>
      <c r="Q35" s="38"/>
    </row>
    <row r="36" spans="1:19" x14ac:dyDescent="0.25">
      <c r="A36" s="29"/>
      <c r="B36" s="30"/>
      <c r="C36" s="31"/>
      <c r="D36" s="32"/>
      <c r="E36" s="33"/>
      <c r="F36" s="32"/>
      <c r="G36" s="32"/>
      <c r="H36" s="32"/>
      <c r="I36" s="34"/>
      <c r="J36" s="31"/>
      <c r="K36" s="35"/>
      <c r="L36" s="36"/>
      <c r="M36" s="37"/>
      <c r="N36" s="172"/>
      <c r="Q36" s="38"/>
    </row>
    <row r="37" spans="1:19" x14ac:dyDescent="0.25">
      <c r="A37" s="29"/>
      <c r="B37" s="30"/>
      <c r="C37" s="31"/>
      <c r="D37" s="32"/>
      <c r="E37" s="33"/>
      <c r="F37" s="32"/>
      <c r="G37" s="32"/>
      <c r="H37" s="32"/>
      <c r="I37" s="34"/>
      <c r="J37" s="31"/>
      <c r="K37" s="35"/>
      <c r="L37" s="36"/>
      <c r="M37" s="37"/>
      <c r="N37" s="172"/>
      <c r="Q37" s="38"/>
    </row>
    <row r="38" spans="1:19" x14ac:dyDescent="0.25">
      <c r="A38" s="43"/>
      <c r="B38" s="44"/>
      <c r="C38" s="45"/>
      <c r="D38" s="46"/>
      <c r="E38" s="47"/>
      <c r="F38" s="46"/>
      <c r="G38" s="46"/>
      <c r="H38" s="46"/>
      <c r="I38" s="48"/>
      <c r="J38" s="45"/>
      <c r="K38" s="49"/>
      <c r="L38" s="50"/>
      <c r="M38" s="51"/>
      <c r="N38" s="277"/>
      <c r="O38" s="20"/>
      <c r="P38" s="20"/>
      <c r="Q38" s="39"/>
    </row>
    <row r="39" spans="1:19" ht="16.899999999999999" customHeight="1" x14ac:dyDescent="0.25">
      <c r="A39" s="688" t="str">
        <f>cal!$AK$7&amp;" "&amp;$V$16&amp;" "&amp;ROUND(cal!BK47,1)&amp;IF(cal!$Z$5=1," cm, ",IF(cal!$Z$5=2," in, "))&amp;$V$17&amp;" "&amp;ROUND(cal!BL47,1)&amp;IF(cal!$Z$5=1," cm, ",IF(cal!$Z$5=2," in, "))&amp;$V$18&amp;" "&amp;ROUND(cal!BM47,1)&amp;IF(cal!$Z$5=1," cm ",IF(cal!$Z$5=2," in "))&amp;$S39</f>
        <v>Briza 22 (230V) høyde 54,5 cm, bredde 22 cm, lengde 125 cm (Type 06)</v>
      </c>
      <c r="B39" s="689"/>
      <c r="C39" s="689"/>
      <c r="D39" s="689"/>
      <c r="E39" s="689"/>
      <c r="F39" s="689"/>
      <c r="G39" s="689"/>
      <c r="H39" s="689"/>
      <c r="I39" s="689"/>
      <c r="J39" s="689"/>
      <c r="K39" s="689"/>
      <c r="L39" s="689"/>
      <c r="M39" s="690" t="str">
        <f>$U$27</f>
        <v>Ordrekode:</v>
      </c>
      <c r="N39" s="690"/>
      <c r="O39" s="690"/>
      <c r="P39" s="690"/>
      <c r="Q39" s="691"/>
      <c r="R39" s="207"/>
      <c r="S39" s="207" t="s">
        <v>229</v>
      </c>
    </row>
    <row r="40" spans="1:19" x14ac:dyDescent="0.25">
      <c r="A40" s="29"/>
      <c r="B40" s="30"/>
      <c r="C40" s="31"/>
      <c r="D40" s="32"/>
      <c r="E40" s="33"/>
      <c r="F40" s="32"/>
      <c r="G40" s="32"/>
      <c r="H40" s="32"/>
      <c r="I40" s="34"/>
      <c r="J40" s="31"/>
      <c r="K40" s="35"/>
      <c r="L40" s="36"/>
      <c r="M40" s="37"/>
      <c r="N40" s="172"/>
      <c r="Q40" s="38"/>
    </row>
    <row r="41" spans="1:19" x14ac:dyDescent="0.25">
      <c r="A41" s="29"/>
      <c r="B41" s="30"/>
      <c r="C41" s="31"/>
      <c r="D41" s="32"/>
      <c r="E41" s="33"/>
      <c r="F41" s="32"/>
      <c r="G41" s="32"/>
      <c r="H41" s="32"/>
      <c r="I41" s="34"/>
      <c r="J41" s="31"/>
      <c r="K41" s="35"/>
      <c r="L41" s="36"/>
      <c r="M41" s="37"/>
      <c r="N41" s="172"/>
      <c r="Q41" s="38"/>
    </row>
    <row r="42" spans="1:19" x14ac:dyDescent="0.25">
      <c r="A42" s="29"/>
      <c r="B42" s="30"/>
      <c r="C42" s="31"/>
      <c r="D42" s="32"/>
      <c r="E42" s="33"/>
      <c r="F42" s="32"/>
      <c r="G42" s="32"/>
      <c r="H42" s="32"/>
      <c r="I42" s="34"/>
      <c r="J42" s="31"/>
      <c r="K42" s="35"/>
      <c r="L42" s="36"/>
      <c r="M42" s="37"/>
      <c r="N42" s="172"/>
      <c r="Q42" s="38"/>
    </row>
    <row r="43" spans="1:19" x14ac:dyDescent="0.25">
      <c r="A43" s="29"/>
      <c r="B43" s="30"/>
      <c r="C43" s="31"/>
      <c r="D43" s="32"/>
      <c r="E43" s="33"/>
      <c r="F43" s="32"/>
      <c r="G43" s="32"/>
      <c r="H43" s="32"/>
      <c r="I43" s="34"/>
      <c r="J43" s="31"/>
      <c r="K43" s="35"/>
      <c r="L43" s="36"/>
      <c r="M43" s="37"/>
      <c r="N43" s="172"/>
      <c r="Q43" s="38"/>
    </row>
    <row r="44" spans="1:19" x14ac:dyDescent="0.25">
      <c r="A44" s="29"/>
      <c r="B44" s="30"/>
      <c r="C44" s="31"/>
      <c r="D44" s="32"/>
      <c r="E44" s="33"/>
      <c r="F44" s="32"/>
      <c r="G44" s="32"/>
      <c r="H44" s="32"/>
      <c r="I44" s="34"/>
      <c r="J44" s="31"/>
      <c r="K44" s="35"/>
      <c r="L44" s="36"/>
      <c r="M44" s="37"/>
      <c r="N44" s="172"/>
      <c r="Q44" s="38"/>
    </row>
    <row r="45" spans="1:19" x14ac:dyDescent="0.25">
      <c r="A45" s="29"/>
      <c r="B45" s="30"/>
      <c r="C45" s="31"/>
      <c r="D45" s="32"/>
      <c r="E45" s="33"/>
      <c r="F45" s="32"/>
      <c r="G45" s="32"/>
      <c r="H45" s="32"/>
      <c r="I45" s="34"/>
      <c r="J45" s="31"/>
      <c r="K45" s="35"/>
      <c r="L45" s="36"/>
      <c r="M45" s="37"/>
      <c r="N45" s="172"/>
      <c r="Q45" s="38"/>
    </row>
    <row r="46" spans="1:19" x14ac:dyDescent="0.25">
      <c r="A46" s="43"/>
      <c r="B46" s="44"/>
      <c r="C46" s="45"/>
      <c r="D46" s="46"/>
      <c r="E46" s="47"/>
      <c r="F46" s="46"/>
      <c r="G46" s="46"/>
      <c r="H46" s="46"/>
      <c r="I46" s="48"/>
      <c r="J46" s="45"/>
      <c r="K46" s="49"/>
      <c r="L46" s="50"/>
      <c r="M46" s="51"/>
      <c r="N46" s="277"/>
      <c r="O46" s="20"/>
      <c r="P46" s="20"/>
      <c r="Q46" s="39"/>
    </row>
    <row r="47" spans="1:19" x14ac:dyDescent="0.25">
      <c r="A47" s="688" t="str">
        <f>cal!$AK$7&amp;" "&amp;$V$16&amp;" "&amp;ROUND(cal!BK55,1)&amp;IF(cal!$Z$5=1," cm, ",IF(cal!$Z$5=2," in, "))&amp;$V$17&amp;" "&amp;ROUND(cal!BL55,1)&amp;IF(cal!$Z$5=1," cm, ",IF(cal!$Z$5=2," in, "))&amp;$V$18&amp;" "&amp;ROUND(cal!BM55,1)&amp;IF(cal!$Z$5=1," cm ",IF(cal!$Z$5=2," in "))&amp;$S47</f>
        <v>Briza 22 (230V) høyde 54,5 cm, bredde 22 cm, lengde 155 cm (Type 08)</v>
      </c>
      <c r="B47" s="689"/>
      <c r="C47" s="689"/>
      <c r="D47" s="689"/>
      <c r="E47" s="689"/>
      <c r="F47" s="689"/>
      <c r="G47" s="689"/>
      <c r="H47" s="689"/>
      <c r="I47" s="689"/>
      <c r="J47" s="689"/>
      <c r="K47" s="689"/>
      <c r="L47" s="689"/>
      <c r="M47" s="690" t="str">
        <f>$U$27</f>
        <v>Ordrekode:</v>
      </c>
      <c r="N47" s="690"/>
      <c r="O47" s="690"/>
      <c r="P47" s="690"/>
      <c r="Q47" s="691"/>
      <c r="R47" s="207"/>
      <c r="S47" s="207" t="s">
        <v>230</v>
      </c>
    </row>
    <row r="48" spans="1:19" x14ac:dyDescent="0.25">
      <c r="A48" s="29"/>
      <c r="B48" s="30"/>
      <c r="C48" s="31"/>
      <c r="D48" s="32"/>
      <c r="E48" s="33"/>
      <c r="F48" s="32"/>
      <c r="G48" s="32"/>
      <c r="H48" s="32"/>
      <c r="I48" s="34"/>
      <c r="J48" s="31"/>
      <c r="K48" s="35"/>
      <c r="L48" s="36"/>
      <c r="M48" s="37"/>
      <c r="N48" s="172"/>
      <c r="Q48" s="38"/>
    </row>
    <row r="49" spans="1:19" x14ac:dyDescent="0.25">
      <c r="A49" s="29"/>
      <c r="B49" s="30"/>
      <c r="C49" s="31"/>
      <c r="D49" s="32"/>
      <c r="E49" s="33"/>
      <c r="F49" s="32"/>
      <c r="G49" s="32"/>
      <c r="H49" s="32"/>
      <c r="I49" s="34"/>
      <c r="J49" s="31"/>
      <c r="K49" s="35"/>
      <c r="L49" s="36"/>
      <c r="M49" s="37"/>
      <c r="N49" s="172"/>
      <c r="Q49" s="38"/>
    </row>
    <row r="50" spans="1:19" x14ac:dyDescent="0.25">
      <c r="A50" s="29"/>
      <c r="B50" s="30"/>
      <c r="C50" s="31"/>
      <c r="D50" s="32"/>
      <c r="E50" s="33"/>
      <c r="F50" s="32"/>
      <c r="G50" s="32"/>
      <c r="H50" s="32"/>
      <c r="I50" s="34"/>
      <c r="J50" s="31"/>
      <c r="K50" s="35"/>
      <c r="L50" s="36"/>
      <c r="M50" s="37"/>
      <c r="N50" s="172"/>
      <c r="Q50" s="38"/>
    </row>
    <row r="51" spans="1:19" x14ac:dyDescent="0.25">
      <c r="A51" s="29"/>
      <c r="B51" s="30"/>
      <c r="C51" s="31"/>
      <c r="D51" s="32"/>
      <c r="E51" s="33"/>
      <c r="F51" s="32"/>
      <c r="G51" s="32"/>
      <c r="H51" s="32"/>
      <c r="I51" s="34"/>
      <c r="J51" s="31"/>
      <c r="K51" s="35"/>
      <c r="L51" s="36"/>
      <c r="M51" s="37"/>
      <c r="N51" s="172"/>
      <c r="Q51" s="38"/>
    </row>
    <row r="52" spans="1:19" x14ac:dyDescent="0.25">
      <c r="A52" s="29"/>
      <c r="B52" s="30"/>
      <c r="C52" s="31"/>
      <c r="D52" s="32"/>
      <c r="E52" s="33"/>
      <c r="F52" s="32"/>
      <c r="G52" s="32"/>
      <c r="H52" s="32"/>
      <c r="I52" s="34"/>
      <c r="J52" s="31"/>
      <c r="K52" s="35"/>
      <c r="L52" s="36"/>
      <c r="M52" s="37"/>
      <c r="N52" s="172"/>
      <c r="Q52" s="38"/>
    </row>
    <row r="53" spans="1:19" x14ac:dyDescent="0.25">
      <c r="A53" s="29"/>
      <c r="B53" s="30"/>
      <c r="C53" s="31"/>
      <c r="D53" s="32"/>
      <c r="E53" s="33"/>
      <c r="F53" s="32"/>
      <c r="G53" s="32"/>
      <c r="H53" s="32"/>
      <c r="I53" s="34"/>
      <c r="J53" s="31"/>
      <c r="K53" s="35"/>
      <c r="L53" s="36"/>
      <c r="M53" s="37"/>
      <c r="N53" s="172"/>
      <c r="Q53" s="38"/>
    </row>
    <row r="54" spans="1:19" x14ac:dyDescent="0.25">
      <c r="A54" s="43"/>
      <c r="B54" s="44"/>
      <c r="C54" s="45"/>
      <c r="D54" s="46"/>
      <c r="E54" s="47"/>
      <c r="F54" s="46"/>
      <c r="G54" s="46"/>
      <c r="H54" s="46"/>
      <c r="I54" s="48"/>
      <c r="J54" s="45"/>
      <c r="K54" s="49"/>
      <c r="L54" s="50"/>
      <c r="M54" s="51"/>
      <c r="N54" s="277"/>
      <c r="O54" s="20"/>
      <c r="P54" s="20"/>
      <c r="Q54" s="39"/>
    </row>
    <row r="55" spans="1:19" x14ac:dyDescent="0.25">
      <c r="A55" s="688" t="str">
        <f>cal!$AK$7&amp;" "&amp;$V$16&amp;" "&amp;ROUND(cal!BK63,1)&amp;IF(cal!$Z$5=1," cm, ",IF(cal!$Z$5=2," in, "))&amp;$V$17&amp;" "&amp;ROUND(cal!BL63,1)&amp;IF(cal!$Z$5=1," cm, ",IF(cal!$Z$5=2," in, "))&amp;$V$18&amp;" "&amp;ROUND(cal!BM63,1)&amp;IF(cal!$Z$5=1," cm ",IF(cal!$Z$5=2," in "))&amp;$S55</f>
        <v>Briza 22 (230V) høyde 54,5 cm, bredde 22 cm, lengde 190 cm (Type 10)</v>
      </c>
      <c r="B55" s="689"/>
      <c r="C55" s="689"/>
      <c r="D55" s="689"/>
      <c r="E55" s="689"/>
      <c r="F55" s="689"/>
      <c r="G55" s="689"/>
      <c r="H55" s="689"/>
      <c r="I55" s="689"/>
      <c r="J55" s="689"/>
      <c r="K55" s="689"/>
      <c r="L55" s="689"/>
      <c r="M55" s="690" t="str">
        <f>$U$27</f>
        <v>Ordrekode:</v>
      </c>
      <c r="N55" s="690"/>
      <c r="O55" s="690"/>
      <c r="P55" s="690"/>
      <c r="Q55" s="691"/>
      <c r="R55" s="207"/>
      <c r="S55" s="207" t="s">
        <v>231</v>
      </c>
    </row>
    <row r="56" spans="1:19" x14ac:dyDescent="0.25">
      <c r="A56" s="29"/>
      <c r="B56" s="30"/>
      <c r="C56" s="31"/>
      <c r="D56" s="32"/>
      <c r="E56" s="33"/>
      <c r="F56" s="32"/>
      <c r="G56" s="32"/>
      <c r="H56" s="32"/>
      <c r="I56" s="34"/>
      <c r="J56" s="31"/>
      <c r="K56" s="35"/>
      <c r="L56" s="36"/>
      <c r="M56" s="37"/>
      <c r="N56" s="172"/>
      <c r="Q56" s="38"/>
    </row>
    <row r="57" spans="1:19" x14ac:dyDescent="0.25">
      <c r="A57" s="29"/>
      <c r="B57" s="30"/>
      <c r="C57" s="31"/>
      <c r="D57" s="32"/>
      <c r="E57" s="33"/>
      <c r="F57" s="32"/>
      <c r="G57" s="32"/>
      <c r="H57" s="32"/>
      <c r="I57" s="34"/>
      <c r="J57" s="31"/>
      <c r="K57" s="35"/>
      <c r="L57" s="36"/>
      <c r="M57" s="37"/>
      <c r="N57" s="172"/>
      <c r="Q57" s="38"/>
    </row>
    <row r="58" spans="1:19" x14ac:dyDescent="0.25">
      <c r="A58" s="29"/>
      <c r="B58" s="30"/>
      <c r="C58" s="31"/>
      <c r="D58" s="32"/>
      <c r="E58" s="33"/>
      <c r="F58" s="32"/>
      <c r="G58" s="32"/>
      <c r="H58" s="32"/>
      <c r="I58" s="34"/>
      <c r="J58" s="31"/>
      <c r="K58" s="35"/>
      <c r="L58" s="36"/>
      <c r="M58" s="37"/>
      <c r="N58" s="172"/>
      <c r="Q58" s="38"/>
    </row>
    <row r="59" spans="1:19" x14ac:dyDescent="0.25">
      <c r="A59" s="29"/>
      <c r="B59" s="30"/>
      <c r="C59" s="31"/>
      <c r="D59" s="32"/>
      <c r="E59" s="33"/>
      <c r="F59" s="32"/>
      <c r="G59" s="32"/>
      <c r="H59" s="32"/>
      <c r="I59" s="34"/>
      <c r="J59" s="31"/>
      <c r="K59" s="35"/>
      <c r="L59" s="36"/>
      <c r="M59" s="37"/>
      <c r="N59" s="172"/>
      <c r="Q59" s="38"/>
    </row>
    <row r="60" spans="1:19" x14ac:dyDescent="0.25">
      <c r="A60" s="29"/>
      <c r="B60" s="30"/>
      <c r="C60" s="31"/>
      <c r="D60" s="32"/>
      <c r="E60" s="33"/>
      <c r="F60" s="32"/>
      <c r="G60" s="32"/>
      <c r="H60" s="32"/>
      <c r="I60" s="34"/>
      <c r="J60" s="31"/>
      <c r="K60" s="35"/>
      <c r="L60" s="36"/>
      <c r="M60" s="37"/>
      <c r="N60" s="172"/>
      <c r="Q60" s="38"/>
    </row>
    <row r="61" spans="1:19" x14ac:dyDescent="0.25">
      <c r="A61" s="29"/>
      <c r="B61" s="30"/>
      <c r="C61" s="31"/>
      <c r="D61" s="32"/>
      <c r="E61" s="33"/>
      <c r="F61" s="32"/>
      <c r="G61" s="32"/>
      <c r="H61" s="32"/>
      <c r="I61" s="34"/>
      <c r="J61" s="31"/>
      <c r="K61" s="35"/>
      <c r="L61" s="36"/>
      <c r="M61" s="37"/>
      <c r="N61" s="172"/>
      <c r="Q61" s="38"/>
    </row>
    <row r="62" spans="1:19" x14ac:dyDescent="0.25">
      <c r="A62" s="43"/>
      <c r="B62" s="44"/>
      <c r="C62" s="45"/>
      <c r="D62" s="46"/>
      <c r="E62" s="47"/>
      <c r="F62" s="46"/>
      <c r="G62" s="46"/>
      <c r="H62" s="46"/>
      <c r="I62" s="48"/>
      <c r="J62" s="45"/>
      <c r="K62" s="49"/>
      <c r="L62" s="50"/>
      <c r="M62" s="51"/>
      <c r="N62" s="277"/>
      <c r="O62" s="20"/>
      <c r="P62" s="20"/>
      <c r="Q62" s="39"/>
    </row>
    <row r="63" spans="1:19" ht="9.4" customHeight="1" x14ac:dyDescent="0.25">
      <c r="A63" s="40" t="s">
        <v>260</v>
      </c>
      <c r="L63" s="41"/>
      <c r="M63" s="42"/>
      <c r="N63" s="42"/>
      <c r="Q63" s="42">
        <f>cal!Q63</f>
        <v>0</v>
      </c>
      <c r="R63" s="42"/>
      <c r="S63" s="42"/>
    </row>
    <row r="64" spans="1:19" ht="9.4" customHeight="1" x14ac:dyDescent="0.25">
      <c r="A64" s="40" t="s">
        <v>22</v>
      </c>
    </row>
    <row r="65" spans="1:1" ht="9.4" customHeight="1" x14ac:dyDescent="0.25">
      <c r="A65" s="40" t="s">
        <v>23</v>
      </c>
    </row>
    <row r="66" spans="1:1" ht="9.4" customHeight="1" x14ac:dyDescent="0.25">
      <c r="A66" s="40" t="s">
        <v>292</v>
      </c>
    </row>
  </sheetData>
  <sheetProtection selectLockedCells="1"/>
  <mergeCells count="28">
    <mergeCell ref="A47:L47"/>
    <mergeCell ref="M47:Q47"/>
    <mergeCell ref="A55:L55"/>
    <mergeCell ref="M55:Q55"/>
    <mergeCell ref="S7:T7"/>
    <mergeCell ref="F11:I11"/>
    <mergeCell ref="A10:C10"/>
    <mergeCell ref="F10:I10"/>
    <mergeCell ref="A15:L15"/>
    <mergeCell ref="M15:Q15"/>
    <mergeCell ref="A23:L23"/>
    <mergeCell ref="M23:Q23"/>
    <mergeCell ref="A31:L31"/>
    <mergeCell ref="M31:Q31"/>
    <mergeCell ref="A39:L39"/>
    <mergeCell ref="M39:Q39"/>
    <mergeCell ref="L6:M6"/>
    <mergeCell ref="L7:M7"/>
    <mergeCell ref="L9:M9"/>
    <mergeCell ref="L10:M10"/>
    <mergeCell ref="Q7:R7"/>
    <mergeCell ref="Q8:R10"/>
    <mergeCell ref="G3:J3"/>
    <mergeCell ref="G4:J4"/>
    <mergeCell ref="A8:C8"/>
    <mergeCell ref="F8:I8"/>
    <mergeCell ref="A9:C9"/>
    <mergeCell ref="F9:I9"/>
  </mergeCells>
  <dataValidations count="7">
    <dataValidation type="decimal" errorStyle="information" allowBlank="1" showErrorMessage="1" error="Eingabe außerhalb des gültigen Bereichs." prompt="20°C bis 35°C" sqref="J11" xr:uid="{00000000-0002-0000-0600-000000000000}">
      <formula1>0.01</formula1>
      <formula2>1</formula2>
    </dataValidation>
    <dataValidation type="whole" errorStyle="information" allowBlank="1" showErrorMessage="1" error="Eingabe außerhalb des gültigen Bereichs." prompt="Eingabe zwischen 5°C bis 20°C" sqref="J8" xr:uid="{00000000-0002-0000-0600-000001000000}">
      <formula1>5</formula1>
      <formula2>20</formula2>
    </dataValidation>
    <dataValidation type="whole" errorStyle="information" allowBlank="1" showErrorMessage="1" error="Eingabe außerhalb des gültigen Bereichs." prompt="Eingabe zwischen Vorlauftemp. und Raumtemp." sqref="J9" xr:uid="{00000000-0002-0000-0600-000002000000}">
      <formula1>J8</formula1>
      <formula2>J10</formula2>
    </dataValidation>
    <dataValidation type="whole" errorStyle="information" allowBlank="1" showErrorMessage="1" error="Temperatur außerhalb des gütligen Bereichs." prompt="Eingabe zwischen 30°C bis 95°C" sqref="D8" xr:uid="{00000000-0002-0000-0600-000003000000}">
      <formula1>30</formula1>
      <formula2>95</formula2>
    </dataValidation>
    <dataValidation type="whole" errorStyle="information" allowBlank="1" showErrorMessage="1" error="Eingabe außerhalb des gültigen Bereichs." prompt="Eingabe zwischen Vorlauftemp. und Raumtemp." sqref="D9" xr:uid="{00000000-0002-0000-0600-000004000000}">
      <formula1>D10</formula1>
      <formula2>D8</formula2>
    </dataValidation>
    <dataValidation type="whole" errorStyle="information" allowBlank="1" showErrorMessage="1" error="Eingabe außerhalb des gültigen Bereichs." prompt="Eingabe zwischen 16°C bis 30°C" sqref="D10" xr:uid="{00000000-0002-0000-0600-000005000000}">
      <formula1>16</formula1>
      <formula2>30</formula2>
    </dataValidation>
    <dataValidation type="whole" errorStyle="information" allowBlank="1" showErrorMessage="1" error="Eingabe außerhalb des gültigen Bereichs." prompt="20°C bis 35°C" sqref="J10" xr:uid="{00000000-0002-0000-0600-000006000000}">
      <formula1>20</formula1>
      <formula2>35</formula2>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P"/>
  <dimension ref="A1:W66"/>
  <sheetViews>
    <sheetView workbookViewId="0">
      <selection activeCell="K2" sqref="K2:M2"/>
    </sheetView>
  </sheetViews>
  <sheetFormatPr defaultColWidth="11.42578125" defaultRowHeight="15" x14ac:dyDescent="0.25"/>
  <cols>
    <col min="1" max="1" width="7" style="2" customWidth="1"/>
    <col min="2" max="2" width="6.140625" style="2" customWidth="1"/>
    <col min="3" max="3" width="7" style="2" customWidth="1"/>
    <col min="4" max="4" width="6.7109375" style="2" customWidth="1"/>
    <col min="5" max="19" width="7" style="2" customWidth="1"/>
    <col min="20" max="16384" width="11.42578125" style="2"/>
  </cols>
  <sheetData>
    <row r="1" spans="1:23" x14ac:dyDescent="0.25">
      <c r="A1" s="1"/>
    </row>
    <row r="2" spans="1:23" x14ac:dyDescent="0.25">
      <c r="A2" s="213" t="s">
        <v>207</v>
      </c>
      <c r="B2" s="4"/>
    </row>
    <row r="3" spans="1:23" x14ac:dyDescent="0.25">
      <c r="A3" s="1"/>
      <c r="G3" s="684" t="s">
        <v>205</v>
      </c>
      <c r="H3" s="622" t="s">
        <v>170</v>
      </c>
      <c r="I3" s="622">
        <v>0</v>
      </c>
      <c r="J3" s="623">
        <v>0</v>
      </c>
    </row>
    <row r="4" spans="1:23" x14ac:dyDescent="0.25">
      <c r="A4" s="5"/>
      <c r="G4" s="684" t="s">
        <v>206</v>
      </c>
      <c r="H4" s="622" t="s">
        <v>112</v>
      </c>
      <c r="I4" s="622">
        <v>0</v>
      </c>
      <c r="J4" s="623">
        <v>0</v>
      </c>
    </row>
    <row r="5" spans="1:23" ht="6" customHeight="1" thickBot="1" x14ac:dyDescent="0.3">
      <c r="A5" s="6"/>
      <c r="B5" s="7"/>
      <c r="C5" s="7"/>
      <c r="D5" s="7"/>
      <c r="E5" s="7"/>
      <c r="F5" s="7"/>
      <c r="G5" s="7"/>
      <c r="H5" s="7"/>
      <c r="I5" s="7"/>
      <c r="J5" s="7"/>
      <c r="K5" s="7"/>
      <c r="L5" s="7"/>
      <c r="M5" s="7"/>
      <c r="N5" s="7"/>
      <c r="O5" s="7"/>
      <c r="P5" s="7"/>
      <c r="Q5" s="8"/>
      <c r="R5" s="10"/>
      <c r="S5" s="10"/>
    </row>
    <row r="6" spans="1:23" ht="15.75" thickBot="1" x14ac:dyDescent="0.3">
      <c r="A6" s="9" t="s">
        <v>208</v>
      </c>
      <c r="B6" s="10"/>
      <c r="C6" s="10"/>
      <c r="D6" s="10"/>
      <c r="E6" s="10"/>
      <c r="F6" s="10"/>
      <c r="G6" s="10"/>
      <c r="H6" s="10"/>
      <c r="I6" s="10"/>
      <c r="J6" s="10"/>
      <c r="K6" s="10"/>
      <c r="L6" s="692" t="s">
        <v>222</v>
      </c>
      <c r="M6" s="687"/>
      <c r="N6" s="274"/>
      <c r="O6" s="10"/>
      <c r="P6" s="10"/>
      <c r="Q6" s="11"/>
      <c r="R6" s="10"/>
      <c r="S6" s="10"/>
    </row>
    <row r="7" spans="1:23" ht="15.75" thickBot="1" x14ac:dyDescent="0.3">
      <c r="A7" s="9" t="s">
        <v>218</v>
      </c>
      <c r="B7" s="10"/>
      <c r="C7" s="10"/>
      <c r="D7" s="10"/>
      <c r="E7" s="10"/>
      <c r="F7" s="12" t="s">
        <v>216</v>
      </c>
      <c r="G7" s="12"/>
      <c r="H7" s="12"/>
      <c r="I7" s="12"/>
      <c r="J7" s="10"/>
      <c r="K7" s="10"/>
      <c r="L7" s="636"/>
      <c r="M7" s="637"/>
      <c r="N7" s="275"/>
      <c r="O7" s="10"/>
      <c r="P7" s="10"/>
      <c r="Q7" s="552" t="s">
        <v>215</v>
      </c>
      <c r="R7" s="553"/>
      <c r="S7" s="552" t="s">
        <v>312</v>
      </c>
      <c r="T7" s="553"/>
    </row>
    <row r="8" spans="1:23" ht="15.75" thickBot="1" x14ac:dyDescent="0.3">
      <c r="A8" s="685" t="s">
        <v>209</v>
      </c>
      <c r="B8" s="613">
        <v>0</v>
      </c>
      <c r="C8" s="613">
        <v>0</v>
      </c>
      <c r="D8" s="13">
        <f>cal!E10</f>
        <v>65</v>
      </c>
      <c r="E8" s="52" t="str">
        <f>IF(cal!$Z$5=1,"°C",IF(cal!$Z$5=2,"°F"))</f>
        <v>°C</v>
      </c>
      <c r="F8" s="613" t="str">
        <f>A8</f>
        <v>Agua impulsión</v>
      </c>
      <c r="G8" s="613"/>
      <c r="H8" s="613"/>
      <c r="I8" s="613"/>
      <c r="J8" s="13">
        <f>cal!K10</f>
        <v>16</v>
      </c>
      <c r="K8" s="10" t="str">
        <f>E8</f>
        <v>°C</v>
      </c>
      <c r="L8" s="10"/>
      <c r="M8" s="10"/>
      <c r="N8" s="10"/>
      <c r="O8" s="10"/>
      <c r="P8" s="10"/>
      <c r="Q8" s="643"/>
      <c r="R8" s="644"/>
      <c r="S8" s="10"/>
    </row>
    <row r="9" spans="1:23" ht="15.75" thickBot="1" x14ac:dyDescent="0.3">
      <c r="A9" s="685" t="s">
        <v>210</v>
      </c>
      <c r="B9" s="613">
        <v>0</v>
      </c>
      <c r="C9" s="613">
        <v>0</v>
      </c>
      <c r="D9" s="13">
        <f>cal!E11</f>
        <v>55</v>
      </c>
      <c r="E9" s="52" t="str">
        <f>E8</f>
        <v>°C</v>
      </c>
      <c r="F9" s="613" t="str">
        <f>A9</f>
        <v>Agua retorno</v>
      </c>
      <c r="G9" s="613"/>
      <c r="H9" s="613"/>
      <c r="I9" s="613"/>
      <c r="J9" s="13">
        <f>cal!K11</f>
        <v>18</v>
      </c>
      <c r="K9" s="10" t="str">
        <f>E8</f>
        <v>°C</v>
      </c>
      <c r="L9" s="686" t="s">
        <v>214</v>
      </c>
      <c r="M9" s="687"/>
      <c r="N9" s="274"/>
      <c r="O9" s="10"/>
      <c r="P9" s="10"/>
      <c r="Q9" s="645"/>
      <c r="R9" s="646"/>
      <c r="S9" s="10"/>
    </row>
    <row r="10" spans="1:23" ht="15.75" thickBot="1" x14ac:dyDescent="0.3">
      <c r="A10" s="685" t="s">
        <v>211</v>
      </c>
      <c r="B10" s="613">
        <v>0</v>
      </c>
      <c r="C10" s="613">
        <v>0</v>
      </c>
      <c r="D10" s="13">
        <f>cal!E12</f>
        <v>20</v>
      </c>
      <c r="E10" s="52" t="str">
        <f>E8</f>
        <v>°C</v>
      </c>
      <c r="F10" s="613" t="str">
        <f>A10</f>
        <v>Ambiente (bulbo seco)</v>
      </c>
      <c r="G10" s="613"/>
      <c r="H10" s="613"/>
      <c r="I10" s="613"/>
      <c r="J10" s="13">
        <f>cal!K12</f>
        <v>27</v>
      </c>
      <c r="K10" s="10" t="str">
        <f>E8</f>
        <v>°C</v>
      </c>
      <c r="L10" s="641"/>
      <c r="M10" s="642"/>
      <c r="N10" s="276"/>
      <c r="O10" s="10"/>
      <c r="P10" s="10"/>
      <c r="Q10" s="647"/>
      <c r="R10" s="648"/>
      <c r="S10" s="10"/>
      <c r="U10" t="s">
        <v>331</v>
      </c>
    </row>
    <row r="11" spans="1:23" x14ac:dyDescent="0.25">
      <c r="A11" s="14" t="s">
        <v>212</v>
      </c>
      <c r="B11" s="10"/>
      <c r="C11" s="10"/>
      <c r="D11" s="10"/>
      <c r="E11" s="10"/>
      <c r="F11" s="613" t="s">
        <v>213</v>
      </c>
      <c r="G11" s="613"/>
      <c r="H11" s="613"/>
      <c r="I11" s="614"/>
      <c r="J11" s="15">
        <f>cal!K14</f>
        <v>0.5</v>
      </c>
      <c r="K11" s="10"/>
      <c r="L11" s="10"/>
      <c r="M11" s="10"/>
      <c r="N11" s="10"/>
      <c r="O11" s="10"/>
      <c r="P11" s="10"/>
      <c r="Q11" s="11"/>
      <c r="R11" s="10"/>
      <c r="S11" s="10"/>
      <c r="U11" t="s">
        <v>332</v>
      </c>
    </row>
    <row r="12" spans="1:23" ht="6" customHeight="1" x14ac:dyDescent="0.25">
      <c r="A12" s="16"/>
      <c r="B12" s="17"/>
      <c r="C12" s="17"/>
      <c r="D12" s="17"/>
      <c r="E12" s="18"/>
      <c r="F12" s="18"/>
      <c r="G12" s="18"/>
      <c r="H12" s="18"/>
      <c r="I12" s="18"/>
      <c r="J12" s="18"/>
      <c r="K12" s="18"/>
      <c r="L12" s="18"/>
      <c r="M12" s="18"/>
      <c r="N12" s="18"/>
      <c r="O12" s="18"/>
      <c r="P12" s="18"/>
      <c r="Q12" s="19"/>
      <c r="R12" s="10"/>
      <c r="S12" s="10"/>
    </row>
    <row r="13" spans="1:23" x14ac:dyDescent="0.25">
      <c r="A13" s="20"/>
      <c r="B13" s="20"/>
      <c r="C13" s="20"/>
      <c r="D13" s="20"/>
      <c r="E13" s="20"/>
      <c r="F13" s="20"/>
      <c r="G13" s="20"/>
      <c r="H13" s="20"/>
      <c r="I13" s="20"/>
      <c r="J13" s="20"/>
      <c r="K13" s="20"/>
      <c r="L13" s="20"/>
      <c r="M13" s="20"/>
    </row>
    <row r="14" spans="1:23" s="28" customFormat="1" ht="95.45" customHeight="1" x14ac:dyDescent="0.25">
      <c r="A14" s="21" t="s">
        <v>377</v>
      </c>
      <c r="B14" s="22" t="s">
        <v>217</v>
      </c>
      <c r="C14" s="21" t="str">
        <f>CONCATENATE("Capacidad calefacción * ",ROUND(D8,0),"/",ROUND(D9,0),"/",ROUND(D10,0)," ["&amp;IF(cal!$Z$5=1,"W",IF(cal!$Z$5=2,"Btu/h"))&amp;"]")</f>
        <v>Capacidad calefacción * 65/55/20 [W]</v>
      </c>
      <c r="D14" s="23" t="str">
        <f>"Caudal de agua, calefacción ["&amp;IF(cal!$Z$5=1,"l/h",IF(cal!$Z$5=2,"GPM"))&amp;"]"</f>
        <v>Caudal de agua, calefacción [l/h]</v>
      </c>
      <c r="E14" s="27" t="str">
        <f>"Pérdida de carga del agua ["&amp;IF(cal!$Z$5=1,"kPa",IF(cal!$Z$5=2,"ftH2O"))&amp;"]"</f>
        <v>Pérdida de carga del agua [kPa]</v>
      </c>
      <c r="F14" s="22" t="str">
        <f>CONCATENATE("Capacidad sensible Frío * ",ROUND(J8,0),"/",ROUND(J9,0),"/",ROUND(J10,0)," ["&amp;IF(cal!$Z$5=1,"W",IF(cal!$Z$5=2,"Btu/h"))&amp;"]")</f>
        <v>Capacidad sensible Frío * 16/18/27 [W]</v>
      </c>
      <c r="G14" s="22" t="str">
        <f>CONCATENATE("Capacidad total Frío * ",ROUND(J8,0),"/",ROUND(J9,0),"/",ROUND(J10,0)," ["&amp;IF(cal!$Z$5=1,"W",IF(cal!$Z$5=2,"Btu/h"))&amp;"]")</f>
        <v>Capacidad total Frío * 16/18/27 [W]</v>
      </c>
      <c r="H14" s="22" t="str">
        <f>"Caudal de agua, Frío ["&amp;IF(cal!$Z$5=1,"l/h",IF(cal!$Z$5=2,"GPM"))&amp;"]"</f>
        <v>Caudal de agua, Frío [l/h]</v>
      </c>
      <c r="I14" s="22" t="str">
        <f>E14</f>
        <v>Pérdida de carga del agua [kPa]</v>
      </c>
      <c r="J14" s="21" t="s">
        <v>219</v>
      </c>
      <c r="K14" s="26" t="s">
        <v>220</v>
      </c>
      <c r="L14" s="22" t="s">
        <v>221</v>
      </c>
      <c r="M14" s="27" t="str">
        <f>"Caudal de aire ["&amp;IF(cal!$Z$5=1,"m³/h",IF(cal!$Z$5=2,"CFM"))&amp;"]"</f>
        <v>Caudal de aire [m³/h]</v>
      </c>
      <c r="N14" s="27" t="str">
        <f>"Velocidad de aire ["&amp;IF(cal!$Z$5=1,"m/s",IF(cal!$Z$5=2,"ft/min"))&amp;"]"</f>
        <v>Velocidad de aire [m/s]</v>
      </c>
      <c r="O14" s="209" t="str">
        <f>"Temperatura salida de aire calefacción ["&amp;IF(cal!$Z$5=1,"°C",IF(cal!$Z$5=2,"°F"))&amp;"]"</f>
        <v>Temperatura salida de aire calefacción [°C]</v>
      </c>
      <c r="P14" s="209" t="str">
        <f>"Temperatura salida de aire calefacción (bulbo hum.) ["&amp;IF(cal!$Z$5=1,"°C",IF(cal!$Z$5=2,"°F"))&amp;"]"</f>
        <v>Temperatura salida de aire calefacción (bulbo hum.) [°C]</v>
      </c>
      <c r="Q14" s="210" t="str">
        <f>"Temperatura salida de aire refrigeración (bulbo seco) ["&amp;IF(cal!$Z$5=1,"°C",IF(cal!$Z$5=2,"°F"))&amp;"]"</f>
        <v>Temperatura salida de aire refrigeración (bulbo seco) [°C]</v>
      </c>
      <c r="R14" s="210" t="str">
        <f>"Temperatura salida de aire refrigeración (bulbo hum.) ["&amp;IF(cal!$Z$5=1,"°C",IF(cal!$Z$5=2,"°F"))&amp;"]"</f>
        <v>Temperatura salida de aire refrigeración (bulbo hum.) [°C]</v>
      </c>
      <c r="S14" s="211" t="s">
        <v>223</v>
      </c>
      <c r="T14" s="211" t="s">
        <v>302</v>
      </c>
      <c r="U14" t="s">
        <v>363</v>
      </c>
    </row>
    <row r="15" spans="1:23" ht="18" customHeight="1" x14ac:dyDescent="0.25">
      <c r="A15" s="688" t="str">
        <f>cal!$AK$7&amp;" "&amp;$V$16&amp;" "&amp;ROUND(cal!BK23,1)&amp;IF(cal!$Z$5=1," cm, ",IF(cal!$Z$5=2," in, "))&amp;$V$17&amp;" "&amp;ROUND(cal!BL23,1)&amp;IF(cal!$Z$5=1," cm, ",IF(cal!$Z$5=2," in, "))&amp;$V$18&amp;" "&amp;ROUND(cal!BM23,1)&amp;IF(cal!$Z$5=1," cm ",IF(cal!$Z$5=2," in "))&amp;$S15</f>
        <v>Briza 22 (230V) altura 54,5 cm, ancho 22 cm, longitud 55 cm (Type 02)</v>
      </c>
      <c r="B15" s="689"/>
      <c r="C15" s="689"/>
      <c r="D15" s="689"/>
      <c r="E15" s="689"/>
      <c r="F15" s="689"/>
      <c r="G15" s="689"/>
      <c r="H15" s="689"/>
      <c r="I15" s="689"/>
      <c r="J15" s="689"/>
      <c r="K15" s="689"/>
      <c r="L15" s="689"/>
      <c r="M15" s="690" t="str">
        <f>$U$27</f>
        <v>Código de orden:</v>
      </c>
      <c r="N15" s="690"/>
      <c r="O15" s="690"/>
      <c r="P15" s="690"/>
      <c r="Q15" s="691"/>
      <c r="R15" s="207"/>
      <c r="S15" s="207" t="s">
        <v>226</v>
      </c>
    </row>
    <row r="16" spans="1:23" x14ac:dyDescent="0.25">
      <c r="A16" s="29"/>
      <c r="B16" s="30"/>
      <c r="C16" s="31"/>
      <c r="D16" s="32"/>
      <c r="E16" s="33"/>
      <c r="F16" s="32"/>
      <c r="G16" s="32"/>
      <c r="H16" s="32"/>
      <c r="I16" s="34"/>
      <c r="J16" s="31"/>
      <c r="K16" s="35"/>
      <c r="L16" s="36"/>
      <c r="M16" s="37"/>
      <c r="N16" s="172"/>
      <c r="Q16" s="38"/>
      <c r="U16" s="2" t="s">
        <v>250</v>
      </c>
      <c r="V16" s="2" t="s">
        <v>247</v>
      </c>
      <c r="W16" s="517" t="s">
        <v>430</v>
      </c>
    </row>
    <row r="17" spans="1:23" x14ac:dyDescent="0.25">
      <c r="A17" s="29"/>
      <c r="B17" s="30"/>
      <c r="C17" s="31"/>
      <c r="D17" s="32"/>
      <c r="E17" s="33"/>
      <c r="F17" s="32"/>
      <c r="G17" s="32"/>
      <c r="H17" s="32"/>
      <c r="I17" s="34"/>
      <c r="J17" s="31"/>
      <c r="K17" s="35"/>
      <c r="L17" s="36"/>
      <c r="M17" s="37"/>
      <c r="N17" s="172"/>
      <c r="Q17" s="38"/>
      <c r="U17" s="2" t="s">
        <v>165</v>
      </c>
      <c r="V17" s="2" t="s">
        <v>248</v>
      </c>
      <c r="W17" s="517" t="s">
        <v>431</v>
      </c>
    </row>
    <row r="18" spans="1:23" x14ac:dyDescent="0.25">
      <c r="A18" s="29"/>
      <c r="B18" s="30"/>
      <c r="C18" s="31"/>
      <c r="D18" s="32"/>
      <c r="E18" s="33"/>
      <c r="F18" s="32"/>
      <c r="G18" s="32"/>
      <c r="H18" s="32"/>
      <c r="I18" s="34"/>
      <c r="J18" s="31"/>
      <c r="K18" s="35"/>
      <c r="L18" s="36"/>
      <c r="M18" s="37"/>
      <c r="N18" s="172"/>
      <c r="Q18" s="38"/>
      <c r="U18" s="2" t="s">
        <v>251</v>
      </c>
      <c r="V18" s="2" t="s">
        <v>249</v>
      </c>
      <c r="W18" s="517" t="s">
        <v>432</v>
      </c>
    </row>
    <row r="19" spans="1:23" x14ac:dyDescent="0.25">
      <c r="A19" s="29"/>
      <c r="B19" s="30"/>
      <c r="C19" s="31"/>
      <c r="D19" s="32"/>
      <c r="E19" s="33"/>
      <c r="F19" s="32"/>
      <c r="G19" s="32"/>
      <c r="H19" s="32"/>
      <c r="I19" s="34"/>
      <c r="J19" s="31"/>
      <c r="K19" s="35"/>
      <c r="L19" s="36"/>
      <c r="M19" s="37"/>
      <c r="N19" s="172"/>
      <c r="Q19" s="38"/>
      <c r="U19" s="2" t="s">
        <v>252</v>
      </c>
      <c r="W19" s="2" t="s">
        <v>493</v>
      </c>
    </row>
    <row r="20" spans="1:23" x14ac:dyDescent="0.25">
      <c r="A20" s="29"/>
      <c r="B20" s="30"/>
      <c r="C20" s="31"/>
      <c r="D20" s="32"/>
      <c r="E20" s="33"/>
      <c r="F20" s="32"/>
      <c r="G20" s="32"/>
      <c r="H20" s="32"/>
      <c r="I20" s="34"/>
      <c r="J20" s="31"/>
      <c r="K20" s="35"/>
      <c r="L20" s="36"/>
      <c r="M20" s="37"/>
      <c r="N20" s="172"/>
      <c r="Q20" s="38"/>
      <c r="W20" s="2" t="s">
        <v>494</v>
      </c>
    </row>
    <row r="21" spans="1:23" x14ac:dyDescent="0.25">
      <c r="A21" s="29"/>
      <c r="B21" s="30"/>
      <c r="C21" s="31"/>
      <c r="D21" s="32"/>
      <c r="E21" s="33"/>
      <c r="F21" s="32"/>
      <c r="G21" s="32"/>
      <c r="H21" s="32"/>
      <c r="I21" s="34"/>
      <c r="J21" s="31"/>
      <c r="K21" s="35"/>
      <c r="L21" s="36"/>
      <c r="M21" s="37"/>
      <c r="N21" s="172"/>
      <c r="Q21" s="38"/>
      <c r="W21" s="2" t="s">
        <v>495</v>
      </c>
    </row>
    <row r="22" spans="1:23" x14ac:dyDescent="0.25">
      <c r="A22" s="43"/>
      <c r="B22" s="44"/>
      <c r="C22" s="45"/>
      <c r="D22" s="46"/>
      <c r="E22" s="47"/>
      <c r="F22" s="46"/>
      <c r="G22" s="46"/>
      <c r="H22" s="46"/>
      <c r="I22" s="48"/>
      <c r="J22" s="45"/>
      <c r="K22" s="49"/>
      <c r="L22" s="50"/>
      <c r="M22" s="51"/>
      <c r="N22" s="277"/>
      <c r="O22" s="20"/>
      <c r="P22" s="20"/>
      <c r="Q22" s="39"/>
      <c r="U22" s="2" t="s">
        <v>339</v>
      </c>
      <c r="W22" s="2" t="s">
        <v>503</v>
      </c>
    </row>
    <row r="23" spans="1:23" ht="16.899999999999999" customHeight="1" x14ac:dyDescent="0.25">
      <c r="A23" s="688" t="str">
        <f>cal!$AK$7&amp;" "&amp;$V$16&amp;" "&amp;ROUND(cal!BK31,1)&amp;IF(cal!$Z$5=1," cm, ",IF(cal!$Z$5=2," in, "))&amp;$V$17&amp;" "&amp;ROUND(cal!BL31,1)&amp;IF(cal!$Z$5=1," cm, ",IF(cal!$Z$5=2," in, "))&amp;$V$18&amp;" "&amp;ROUND(cal!BM31,1)&amp;IF(cal!$Z$5=1," cm ",IF(cal!$Z$5=2," in "))&amp;$S23</f>
        <v>Briza 22 (230V) altura 54,5 cm, ancho 22 cm, longitud 75 cm (Type 03)</v>
      </c>
      <c r="B23" s="689"/>
      <c r="C23" s="689"/>
      <c r="D23" s="689"/>
      <c r="E23" s="689"/>
      <c r="F23" s="689"/>
      <c r="G23" s="689"/>
      <c r="H23" s="689"/>
      <c r="I23" s="689"/>
      <c r="J23" s="689"/>
      <c r="K23" s="689"/>
      <c r="L23" s="689"/>
      <c r="M23" s="690" t="str">
        <f>$U$27</f>
        <v>Código de orden:</v>
      </c>
      <c r="N23" s="690"/>
      <c r="O23" s="690"/>
      <c r="P23" s="690"/>
      <c r="Q23" s="691"/>
      <c r="R23" s="207"/>
      <c r="S23" s="207" t="s">
        <v>227</v>
      </c>
      <c r="W23" s="2" t="s">
        <v>504</v>
      </c>
    </row>
    <row r="24" spans="1:23" x14ac:dyDescent="0.25">
      <c r="A24" s="29"/>
      <c r="B24" s="30"/>
      <c r="C24" s="31"/>
      <c r="D24" s="32"/>
      <c r="E24" s="33"/>
      <c r="F24" s="32"/>
      <c r="G24" s="32"/>
      <c r="H24" s="32"/>
      <c r="I24" s="34"/>
      <c r="J24" s="31"/>
      <c r="K24" s="35"/>
      <c r="L24" s="36"/>
      <c r="M24" s="37"/>
      <c r="N24" s="172"/>
      <c r="Q24" s="38"/>
      <c r="U24" t="s">
        <v>350</v>
      </c>
    </row>
    <row r="25" spans="1:23" x14ac:dyDescent="0.25">
      <c r="A25" s="29"/>
      <c r="B25" s="30"/>
      <c r="C25" s="31"/>
      <c r="D25" s="32"/>
      <c r="E25" s="33"/>
      <c r="F25" s="32"/>
      <c r="G25" s="32"/>
      <c r="H25" s="32"/>
      <c r="I25" s="34"/>
      <c r="J25" s="31"/>
      <c r="K25" s="35"/>
      <c r="L25" s="36"/>
      <c r="M25" s="37"/>
      <c r="N25" s="172"/>
      <c r="Q25" s="38"/>
      <c r="U25" t="s">
        <v>351</v>
      </c>
    </row>
    <row r="26" spans="1:23" x14ac:dyDescent="0.25">
      <c r="A26" s="29"/>
      <c r="B26" s="30"/>
      <c r="C26" s="31"/>
      <c r="D26" s="32"/>
      <c r="E26" s="33"/>
      <c r="F26" s="32"/>
      <c r="G26" s="32"/>
      <c r="H26" s="32"/>
      <c r="I26" s="34"/>
      <c r="J26" s="31"/>
      <c r="K26" s="35"/>
      <c r="L26" s="36"/>
      <c r="M26" s="37"/>
      <c r="N26" s="172"/>
      <c r="Q26" s="38"/>
    </row>
    <row r="27" spans="1:23" x14ac:dyDescent="0.25">
      <c r="A27" s="29"/>
      <c r="B27" s="30"/>
      <c r="C27" s="31"/>
      <c r="D27" s="32"/>
      <c r="E27" s="33"/>
      <c r="F27" s="32"/>
      <c r="G27" s="32"/>
      <c r="H27" s="32"/>
      <c r="I27" s="34"/>
      <c r="J27" s="31"/>
      <c r="K27" s="35"/>
      <c r="L27" s="36"/>
      <c r="M27" s="37"/>
      <c r="N27" s="172"/>
      <c r="Q27" s="38"/>
      <c r="U27" s="2" t="s">
        <v>357</v>
      </c>
    </row>
    <row r="28" spans="1:23" x14ac:dyDescent="0.25">
      <c r="A28" s="29"/>
      <c r="B28" s="30"/>
      <c r="C28" s="31"/>
      <c r="D28" s="32"/>
      <c r="E28" s="33"/>
      <c r="F28" s="32"/>
      <c r="G28" s="32"/>
      <c r="H28" s="32"/>
      <c r="I28" s="34"/>
      <c r="J28" s="31"/>
      <c r="K28" s="35"/>
      <c r="L28" s="36"/>
      <c r="M28" s="37"/>
      <c r="N28" s="172"/>
      <c r="Q28" s="38"/>
    </row>
    <row r="29" spans="1:23" x14ac:dyDescent="0.25">
      <c r="A29" s="29"/>
      <c r="B29" s="30"/>
      <c r="C29" s="31"/>
      <c r="D29" s="32"/>
      <c r="E29" s="33"/>
      <c r="F29" s="32"/>
      <c r="G29" s="32"/>
      <c r="H29" s="32"/>
      <c r="I29" s="34"/>
      <c r="J29" s="31"/>
      <c r="K29" s="35"/>
      <c r="L29" s="36"/>
      <c r="M29" s="37"/>
      <c r="N29" s="172"/>
      <c r="Q29" s="38"/>
    </row>
    <row r="30" spans="1:23" x14ac:dyDescent="0.25">
      <c r="A30" s="43"/>
      <c r="B30" s="44"/>
      <c r="C30" s="45"/>
      <c r="D30" s="46"/>
      <c r="E30" s="47"/>
      <c r="F30" s="46"/>
      <c r="G30" s="46"/>
      <c r="H30" s="46"/>
      <c r="I30" s="48"/>
      <c r="J30" s="45"/>
      <c r="K30" s="49"/>
      <c r="L30" s="50"/>
      <c r="M30" s="51"/>
      <c r="N30" s="277"/>
      <c r="O30" s="20"/>
      <c r="P30" s="20"/>
      <c r="Q30" s="39"/>
    </row>
    <row r="31" spans="1:23" ht="18" customHeight="1" x14ac:dyDescent="0.25">
      <c r="A31" s="688" t="str">
        <f>cal!$AK$7&amp;" "&amp;$V$16&amp;" "&amp;ROUND(cal!BK39,1)&amp;IF(cal!$Z$5=1," cm, ",IF(cal!$Z$5=2," in, "))&amp;$V$17&amp;" "&amp;ROUND(cal!BL39,1)&amp;IF(cal!$Z$5=1," cm, ",IF(cal!$Z$5=2," in, "))&amp;$V$18&amp;" "&amp;ROUND(cal!BM39,1)&amp;IF(cal!$Z$5=1," cm ",IF(cal!$Z$5=2," in "))&amp;$S31</f>
        <v>Briza 22 (230V) altura 54,5 cm, ancho 22 cm, longitud 95 cm (Type 04)</v>
      </c>
      <c r="B31" s="689"/>
      <c r="C31" s="689"/>
      <c r="D31" s="689"/>
      <c r="E31" s="689"/>
      <c r="F31" s="689"/>
      <c r="G31" s="689"/>
      <c r="H31" s="689"/>
      <c r="I31" s="689"/>
      <c r="J31" s="689"/>
      <c r="K31" s="689"/>
      <c r="L31" s="689"/>
      <c r="M31" s="690" t="str">
        <f>$U$27</f>
        <v>Código de orden:</v>
      </c>
      <c r="N31" s="690"/>
      <c r="O31" s="690"/>
      <c r="P31" s="690"/>
      <c r="Q31" s="691"/>
      <c r="R31" s="207"/>
      <c r="S31" s="207" t="s">
        <v>228</v>
      </c>
    </row>
    <row r="32" spans="1:23" x14ac:dyDescent="0.25">
      <c r="A32" s="29"/>
      <c r="B32" s="30"/>
      <c r="C32" s="31"/>
      <c r="D32" s="32"/>
      <c r="E32" s="33"/>
      <c r="F32" s="32"/>
      <c r="G32" s="32"/>
      <c r="H32" s="32"/>
      <c r="I32" s="34"/>
      <c r="J32" s="31"/>
      <c r="K32" s="35"/>
      <c r="L32" s="36"/>
      <c r="M32" s="37"/>
      <c r="N32" s="172"/>
      <c r="Q32" s="38"/>
    </row>
    <row r="33" spans="1:19" x14ac:dyDescent="0.25">
      <c r="A33" s="29"/>
      <c r="B33" s="30"/>
      <c r="C33" s="31"/>
      <c r="D33" s="32"/>
      <c r="E33" s="33"/>
      <c r="F33" s="32"/>
      <c r="G33" s="32"/>
      <c r="H33" s="32"/>
      <c r="I33" s="34"/>
      <c r="J33" s="31"/>
      <c r="K33" s="35"/>
      <c r="L33" s="36"/>
      <c r="M33" s="37"/>
      <c r="N33" s="172"/>
      <c r="Q33" s="38"/>
    </row>
    <row r="34" spans="1:19" x14ac:dyDescent="0.25">
      <c r="A34" s="29"/>
      <c r="B34" s="30"/>
      <c r="C34" s="31"/>
      <c r="D34" s="32"/>
      <c r="E34" s="33"/>
      <c r="F34" s="32"/>
      <c r="G34" s="32"/>
      <c r="H34" s="32"/>
      <c r="I34" s="34"/>
      <c r="J34" s="31"/>
      <c r="K34" s="35"/>
      <c r="L34" s="36"/>
      <c r="M34" s="37"/>
      <c r="N34" s="172"/>
      <c r="Q34" s="38"/>
    </row>
    <row r="35" spans="1:19" x14ac:dyDescent="0.25">
      <c r="A35" s="29"/>
      <c r="B35" s="30"/>
      <c r="C35" s="31"/>
      <c r="D35" s="32"/>
      <c r="E35" s="33"/>
      <c r="F35" s="32"/>
      <c r="G35" s="32"/>
      <c r="H35" s="32"/>
      <c r="I35" s="34"/>
      <c r="J35" s="31"/>
      <c r="K35" s="35"/>
      <c r="L35" s="36"/>
      <c r="M35" s="37"/>
      <c r="N35" s="172"/>
      <c r="Q35" s="38"/>
    </row>
    <row r="36" spans="1:19" x14ac:dyDescent="0.25">
      <c r="A36" s="29"/>
      <c r="B36" s="30"/>
      <c r="C36" s="31"/>
      <c r="D36" s="32"/>
      <c r="E36" s="33"/>
      <c r="F36" s="32"/>
      <c r="G36" s="32"/>
      <c r="H36" s="32"/>
      <c r="I36" s="34"/>
      <c r="J36" s="31"/>
      <c r="K36" s="35"/>
      <c r="L36" s="36"/>
      <c r="M36" s="37"/>
      <c r="N36" s="172"/>
      <c r="Q36" s="38"/>
    </row>
    <row r="37" spans="1:19" x14ac:dyDescent="0.25">
      <c r="A37" s="29"/>
      <c r="B37" s="30"/>
      <c r="C37" s="31"/>
      <c r="D37" s="32"/>
      <c r="E37" s="33"/>
      <c r="F37" s="32"/>
      <c r="G37" s="32"/>
      <c r="H37" s="32"/>
      <c r="I37" s="34"/>
      <c r="J37" s="31"/>
      <c r="K37" s="35"/>
      <c r="L37" s="36"/>
      <c r="M37" s="37"/>
      <c r="N37" s="172"/>
      <c r="Q37" s="38"/>
    </row>
    <row r="38" spans="1:19" x14ac:dyDescent="0.25">
      <c r="A38" s="43"/>
      <c r="B38" s="44"/>
      <c r="C38" s="45"/>
      <c r="D38" s="46"/>
      <c r="E38" s="47"/>
      <c r="F38" s="46"/>
      <c r="G38" s="46"/>
      <c r="H38" s="46"/>
      <c r="I38" s="48"/>
      <c r="J38" s="45"/>
      <c r="K38" s="49"/>
      <c r="L38" s="50"/>
      <c r="M38" s="51"/>
      <c r="N38" s="277"/>
      <c r="O38" s="20"/>
      <c r="P38" s="20"/>
      <c r="Q38" s="39"/>
    </row>
    <row r="39" spans="1:19" ht="16.899999999999999" customHeight="1" x14ac:dyDescent="0.25">
      <c r="A39" s="688" t="str">
        <f>cal!$AK$7&amp;" "&amp;$V$16&amp;" "&amp;ROUND(cal!BK47,1)&amp;IF(cal!$Z$5=1," cm, ",IF(cal!$Z$5=2," in, "))&amp;$V$17&amp;" "&amp;ROUND(cal!BL47,1)&amp;IF(cal!$Z$5=1," cm, ",IF(cal!$Z$5=2," in, "))&amp;$V$18&amp;" "&amp;ROUND(cal!BM47,1)&amp;IF(cal!$Z$5=1," cm ",IF(cal!$Z$5=2," in "))&amp;$S39</f>
        <v>Briza 22 (230V) altura 54,5 cm, ancho 22 cm, longitud 125 cm (Type 06)</v>
      </c>
      <c r="B39" s="689"/>
      <c r="C39" s="689"/>
      <c r="D39" s="689"/>
      <c r="E39" s="689"/>
      <c r="F39" s="689"/>
      <c r="G39" s="689"/>
      <c r="H39" s="689"/>
      <c r="I39" s="689"/>
      <c r="J39" s="689"/>
      <c r="K39" s="689"/>
      <c r="L39" s="689"/>
      <c r="M39" s="690" t="str">
        <f>$U$27</f>
        <v>Código de orden:</v>
      </c>
      <c r="N39" s="690"/>
      <c r="O39" s="690"/>
      <c r="P39" s="690"/>
      <c r="Q39" s="691"/>
      <c r="R39" s="207"/>
      <c r="S39" s="207" t="s">
        <v>229</v>
      </c>
    </row>
    <row r="40" spans="1:19" x14ac:dyDescent="0.25">
      <c r="A40" s="29"/>
      <c r="B40" s="30"/>
      <c r="C40" s="31"/>
      <c r="D40" s="32"/>
      <c r="E40" s="33"/>
      <c r="F40" s="32"/>
      <c r="G40" s="32"/>
      <c r="H40" s="32"/>
      <c r="I40" s="34"/>
      <c r="J40" s="31"/>
      <c r="K40" s="35"/>
      <c r="L40" s="36"/>
      <c r="M40" s="37"/>
      <c r="N40" s="172"/>
      <c r="Q40" s="38"/>
    </row>
    <row r="41" spans="1:19" x14ac:dyDescent="0.25">
      <c r="A41" s="29"/>
      <c r="B41" s="30"/>
      <c r="C41" s="31"/>
      <c r="D41" s="32"/>
      <c r="E41" s="33"/>
      <c r="F41" s="32"/>
      <c r="G41" s="32"/>
      <c r="H41" s="32"/>
      <c r="I41" s="34"/>
      <c r="J41" s="31"/>
      <c r="K41" s="35"/>
      <c r="L41" s="36"/>
      <c r="M41" s="37"/>
      <c r="N41" s="172"/>
      <c r="Q41" s="38"/>
    </row>
    <row r="42" spans="1:19" x14ac:dyDescent="0.25">
      <c r="A42" s="29"/>
      <c r="B42" s="30"/>
      <c r="C42" s="31"/>
      <c r="D42" s="32"/>
      <c r="E42" s="33"/>
      <c r="F42" s="32"/>
      <c r="G42" s="32"/>
      <c r="H42" s="32"/>
      <c r="I42" s="34"/>
      <c r="J42" s="31"/>
      <c r="K42" s="35"/>
      <c r="L42" s="36"/>
      <c r="M42" s="37"/>
      <c r="N42" s="172"/>
      <c r="Q42" s="38"/>
    </row>
    <row r="43" spans="1:19" x14ac:dyDescent="0.25">
      <c r="A43" s="29"/>
      <c r="B43" s="30"/>
      <c r="C43" s="31"/>
      <c r="D43" s="32"/>
      <c r="E43" s="33"/>
      <c r="F43" s="32"/>
      <c r="G43" s="32"/>
      <c r="H43" s="32"/>
      <c r="I43" s="34"/>
      <c r="J43" s="31"/>
      <c r="K43" s="35"/>
      <c r="L43" s="36"/>
      <c r="M43" s="37"/>
      <c r="N43" s="172"/>
      <c r="Q43" s="38"/>
    </row>
    <row r="44" spans="1:19" x14ac:dyDescent="0.25">
      <c r="A44" s="29"/>
      <c r="B44" s="30"/>
      <c r="C44" s="31"/>
      <c r="D44" s="32"/>
      <c r="E44" s="33"/>
      <c r="F44" s="32"/>
      <c r="G44" s="32"/>
      <c r="H44" s="32"/>
      <c r="I44" s="34"/>
      <c r="J44" s="31"/>
      <c r="K44" s="35"/>
      <c r="L44" s="36"/>
      <c r="M44" s="37"/>
      <c r="N44" s="172"/>
      <c r="Q44" s="38"/>
    </row>
    <row r="45" spans="1:19" x14ac:dyDescent="0.25">
      <c r="A45" s="29"/>
      <c r="B45" s="30"/>
      <c r="C45" s="31"/>
      <c r="D45" s="32"/>
      <c r="E45" s="33"/>
      <c r="F45" s="32"/>
      <c r="G45" s="32"/>
      <c r="H45" s="32"/>
      <c r="I45" s="34"/>
      <c r="J45" s="31"/>
      <c r="K45" s="35"/>
      <c r="L45" s="36"/>
      <c r="M45" s="37"/>
      <c r="N45" s="172"/>
      <c r="Q45" s="38"/>
    </row>
    <row r="46" spans="1:19" x14ac:dyDescent="0.25">
      <c r="A46" s="43"/>
      <c r="B46" s="44"/>
      <c r="C46" s="45"/>
      <c r="D46" s="46"/>
      <c r="E46" s="47"/>
      <c r="F46" s="46"/>
      <c r="G46" s="46"/>
      <c r="H46" s="46"/>
      <c r="I46" s="48"/>
      <c r="J46" s="45"/>
      <c r="K46" s="49"/>
      <c r="L46" s="50"/>
      <c r="M46" s="51"/>
      <c r="N46" s="277"/>
      <c r="O46" s="20"/>
      <c r="P46" s="20"/>
      <c r="Q46" s="39"/>
    </row>
    <row r="47" spans="1:19" x14ac:dyDescent="0.25">
      <c r="A47" s="688" t="str">
        <f>cal!$AK$7&amp;" "&amp;$V$16&amp;" "&amp;ROUND(cal!BK55,1)&amp;IF(cal!$Z$5=1," cm, ",IF(cal!$Z$5=2," in, "))&amp;$V$17&amp;" "&amp;ROUND(cal!BL55,1)&amp;IF(cal!$Z$5=1," cm, ",IF(cal!$Z$5=2," in, "))&amp;$V$18&amp;" "&amp;ROUND(cal!BM55,1)&amp;IF(cal!$Z$5=1," cm ",IF(cal!$Z$5=2," in "))&amp;$S47</f>
        <v>Briza 22 (230V) altura 54,5 cm, ancho 22 cm, longitud 155 cm (Type 08)</v>
      </c>
      <c r="B47" s="689"/>
      <c r="C47" s="689"/>
      <c r="D47" s="689"/>
      <c r="E47" s="689"/>
      <c r="F47" s="689"/>
      <c r="G47" s="689"/>
      <c r="H47" s="689"/>
      <c r="I47" s="689"/>
      <c r="J47" s="689"/>
      <c r="K47" s="689"/>
      <c r="L47" s="689"/>
      <c r="M47" s="690" t="str">
        <f>$U$27</f>
        <v>Código de orden:</v>
      </c>
      <c r="N47" s="690"/>
      <c r="O47" s="690"/>
      <c r="P47" s="690"/>
      <c r="Q47" s="691"/>
      <c r="R47" s="207"/>
      <c r="S47" s="207" t="s">
        <v>230</v>
      </c>
    </row>
    <row r="48" spans="1:19" x14ac:dyDescent="0.25">
      <c r="A48" s="29"/>
      <c r="B48" s="30"/>
      <c r="C48" s="31"/>
      <c r="D48" s="32"/>
      <c r="E48" s="33"/>
      <c r="F48" s="32"/>
      <c r="G48" s="32"/>
      <c r="H48" s="32"/>
      <c r="I48" s="34"/>
      <c r="J48" s="31"/>
      <c r="K48" s="35"/>
      <c r="L48" s="36"/>
      <c r="M48" s="37"/>
      <c r="N48" s="172"/>
      <c r="Q48" s="38"/>
    </row>
    <row r="49" spans="1:19" x14ac:dyDescent="0.25">
      <c r="A49" s="29"/>
      <c r="B49" s="30"/>
      <c r="C49" s="31"/>
      <c r="D49" s="32"/>
      <c r="E49" s="33"/>
      <c r="F49" s="32"/>
      <c r="G49" s="32"/>
      <c r="H49" s="32"/>
      <c r="I49" s="34"/>
      <c r="J49" s="31"/>
      <c r="K49" s="35"/>
      <c r="L49" s="36"/>
      <c r="M49" s="37"/>
      <c r="N49" s="172"/>
      <c r="Q49" s="38"/>
    </row>
    <row r="50" spans="1:19" x14ac:dyDescent="0.25">
      <c r="A50" s="29"/>
      <c r="B50" s="30"/>
      <c r="C50" s="31"/>
      <c r="D50" s="32"/>
      <c r="E50" s="33"/>
      <c r="F50" s="32"/>
      <c r="G50" s="32"/>
      <c r="H50" s="32"/>
      <c r="I50" s="34"/>
      <c r="J50" s="31"/>
      <c r="K50" s="35"/>
      <c r="L50" s="36"/>
      <c r="M50" s="37"/>
      <c r="N50" s="172"/>
      <c r="Q50" s="38"/>
    </row>
    <row r="51" spans="1:19" x14ac:dyDescent="0.25">
      <c r="A51" s="29"/>
      <c r="B51" s="30"/>
      <c r="C51" s="31"/>
      <c r="D51" s="32"/>
      <c r="E51" s="33"/>
      <c r="F51" s="32"/>
      <c r="G51" s="32"/>
      <c r="H51" s="32"/>
      <c r="I51" s="34"/>
      <c r="J51" s="31"/>
      <c r="K51" s="35"/>
      <c r="L51" s="36"/>
      <c r="M51" s="37"/>
      <c r="N51" s="172"/>
      <c r="Q51" s="38"/>
    </row>
    <row r="52" spans="1:19" x14ac:dyDescent="0.25">
      <c r="A52" s="29"/>
      <c r="B52" s="30"/>
      <c r="C52" s="31"/>
      <c r="D52" s="32"/>
      <c r="E52" s="33"/>
      <c r="F52" s="32"/>
      <c r="G52" s="32"/>
      <c r="H52" s="32"/>
      <c r="I52" s="34"/>
      <c r="J52" s="31"/>
      <c r="K52" s="35"/>
      <c r="L52" s="36"/>
      <c r="M52" s="37"/>
      <c r="N52" s="172"/>
      <c r="Q52" s="38"/>
    </row>
    <row r="53" spans="1:19" x14ac:dyDescent="0.25">
      <c r="A53" s="29"/>
      <c r="B53" s="30"/>
      <c r="C53" s="31"/>
      <c r="D53" s="32"/>
      <c r="E53" s="33"/>
      <c r="F53" s="32"/>
      <c r="G53" s="32"/>
      <c r="H53" s="32"/>
      <c r="I53" s="34"/>
      <c r="J53" s="31"/>
      <c r="K53" s="35"/>
      <c r="L53" s="36"/>
      <c r="M53" s="37"/>
      <c r="N53" s="172"/>
      <c r="Q53" s="38"/>
    </row>
    <row r="54" spans="1:19" x14ac:dyDescent="0.25">
      <c r="A54" s="43"/>
      <c r="B54" s="44"/>
      <c r="C54" s="45"/>
      <c r="D54" s="46"/>
      <c r="E54" s="47"/>
      <c r="F54" s="46"/>
      <c r="G54" s="46"/>
      <c r="H54" s="46"/>
      <c r="I54" s="48"/>
      <c r="J54" s="45"/>
      <c r="K54" s="49"/>
      <c r="L54" s="50"/>
      <c r="M54" s="51"/>
      <c r="N54" s="277"/>
      <c r="O54" s="20"/>
      <c r="P54" s="20"/>
      <c r="Q54" s="39"/>
    </row>
    <row r="55" spans="1:19" x14ac:dyDescent="0.25">
      <c r="A55" s="688" t="str">
        <f>cal!$AK$7&amp;" "&amp;$V$16&amp;" "&amp;ROUND(cal!BK63,1)&amp;IF(cal!$Z$5=1," cm, ",IF(cal!$Z$5=2," in, "))&amp;$V$17&amp;" "&amp;ROUND(cal!BL63,1)&amp;IF(cal!$Z$5=1," cm, ",IF(cal!$Z$5=2," in, "))&amp;$V$18&amp;" "&amp;ROUND(cal!BM63,1)&amp;IF(cal!$Z$5=1," cm ",IF(cal!$Z$5=2," in "))&amp;$S55</f>
        <v>Briza 22 (230V) altura 54,5 cm, ancho 22 cm, longitud 190 cm (Type 10)</v>
      </c>
      <c r="B55" s="689"/>
      <c r="C55" s="689"/>
      <c r="D55" s="689"/>
      <c r="E55" s="689"/>
      <c r="F55" s="689"/>
      <c r="G55" s="689"/>
      <c r="H55" s="689"/>
      <c r="I55" s="689"/>
      <c r="J55" s="689"/>
      <c r="K55" s="689"/>
      <c r="L55" s="689"/>
      <c r="M55" s="690" t="str">
        <f>$U$27</f>
        <v>Código de orden:</v>
      </c>
      <c r="N55" s="690"/>
      <c r="O55" s="690"/>
      <c r="P55" s="690"/>
      <c r="Q55" s="691"/>
      <c r="R55" s="207"/>
      <c r="S55" s="207" t="s">
        <v>231</v>
      </c>
    </row>
    <row r="56" spans="1:19" x14ac:dyDescent="0.25">
      <c r="A56" s="29"/>
      <c r="B56" s="30"/>
      <c r="C56" s="31"/>
      <c r="D56" s="32"/>
      <c r="E56" s="33"/>
      <c r="F56" s="32"/>
      <c r="G56" s="32"/>
      <c r="H56" s="32"/>
      <c r="I56" s="34"/>
      <c r="J56" s="31"/>
      <c r="K56" s="35"/>
      <c r="L56" s="36"/>
      <c r="M56" s="37"/>
      <c r="N56" s="172"/>
      <c r="Q56" s="38"/>
    </row>
    <row r="57" spans="1:19" x14ac:dyDescent="0.25">
      <c r="A57" s="29"/>
      <c r="B57" s="30"/>
      <c r="C57" s="31"/>
      <c r="D57" s="32"/>
      <c r="E57" s="33"/>
      <c r="F57" s="32"/>
      <c r="G57" s="32"/>
      <c r="H57" s="32"/>
      <c r="I57" s="34"/>
      <c r="J57" s="31"/>
      <c r="K57" s="35"/>
      <c r="L57" s="36"/>
      <c r="M57" s="37"/>
      <c r="N57" s="172"/>
      <c r="Q57" s="38"/>
    </row>
    <row r="58" spans="1:19" x14ac:dyDescent="0.25">
      <c r="A58" s="29"/>
      <c r="B58" s="30"/>
      <c r="C58" s="31"/>
      <c r="D58" s="32"/>
      <c r="E58" s="33"/>
      <c r="F58" s="32"/>
      <c r="G58" s="32"/>
      <c r="H58" s="32"/>
      <c r="I58" s="34"/>
      <c r="J58" s="31"/>
      <c r="K58" s="35"/>
      <c r="L58" s="36"/>
      <c r="M58" s="37"/>
      <c r="N58" s="172"/>
      <c r="Q58" s="38"/>
    </row>
    <row r="59" spans="1:19" x14ac:dyDescent="0.25">
      <c r="A59" s="29"/>
      <c r="B59" s="30"/>
      <c r="C59" s="31"/>
      <c r="D59" s="32"/>
      <c r="E59" s="33"/>
      <c r="F59" s="32"/>
      <c r="G59" s="32"/>
      <c r="H59" s="32"/>
      <c r="I59" s="34"/>
      <c r="J59" s="31"/>
      <c r="K59" s="35"/>
      <c r="L59" s="36"/>
      <c r="M59" s="37"/>
      <c r="N59" s="172"/>
      <c r="Q59" s="38"/>
    </row>
    <row r="60" spans="1:19" x14ac:dyDescent="0.25">
      <c r="A60" s="29"/>
      <c r="B60" s="30"/>
      <c r="C60" s="31"/>
      <c r="D60" s="32"/>
      <c r="E60" s="33"/>
      <c r="F60" s="32"/>
      <c r="G60" s="32"/>
      <c r="H60" s="32"/>
      <c r="I60" s="34"/>
      <c r="J60" s="31"/>
      <c r="K60" s="35"/>
      <c r="L60" s="36"/>
      <c r="M60" s="37"/>
      <c r="N60" s="172"/>
      <c r="Q60" s="38"/>
    </row>
    <row r="61" spans="1:19" x14ac:dyDescent="0.25">
      <c r="A61" s="29"/>
      <c r="B61" s="30"/>
      <c r="C61" s="31"/>
      <c r="D61" s="32"/>
      <c r="E61" s="33"/>
      <c r="F61" s="32"/>
      <c r="G61" s="32"/>
      <c r="H61" s="32"/>
      <c r="I61" s="34"/>
      <c r="J61" s="31"/>
      <c r="K61" s="35"/>
      <c r="L61" s="36"/>
      <c r="M61" s="37"/>
      <c r="N61" s="172"/>
      <c r="Q61" s="38"/>
    </row>
    <row r="62" spans="1:19" x14ac:dyDescent="0.25">
      <c r="A62" s="43"/>
      <c r="B62" s="44"/>
      <c r="C62" s="45"/>
      <c r="D62" s="46"/>
      <c r="E62" s="47"/>
      <c r="F62" s="46"/>
      <c r="G62" s="46"/>
      <c r="H62" s="46"/>
      <c r="I62" s="48"/>
      <c r="J62" s="45"/>
      <c r="K62" s="49"/>
      <c r="L62" s="50"/>
      <c r="M62" s="51"/>
      <c r="N62" s="277"/>
      <c r="O62" s="20"/>
      <c r="P62" s="20"/>
      <c r="Q62" s="39"/>
    </row>
    <row r="63" spans="1:19" ht="9.4" customHeight="1" x14ac:dyDescent="0.25">
      <c r="A63" s="280" t="s">
        <v>262</v>
      </c>
      <c r="L63" s="41"/>
      <c r="M63" s="42"/>
      <c r="N63" s="42"/>
      <c r="Q63" s="42">
        <f>cal!Q63</f>
        <v>0</v>
      </c>
      <c r="R63" s="42"/>
      <c r="S63" s="42"/>
    </row>
    <row r="64" spans="1:19" ht="9.4" customHeight="1" x14ac:dyDescent="0.25">
      <c r="A64" s="40" t="s">
        <v>224</v>
      </c>
    </row>
    <row r="65" spans="1:1" ht="9.4" customHeight="1" x14ac:dyDescent="0.25">
      <c r="A65" s="40" t="s">
        <v>225</v>
      </c>
    </row>
    <row r="66" spans="1:1" ht="9.4" customHeight="1" x14ac:dyDescent="0.25">
      <c r="A66" s="40" t="s">
        <v>293</v>
      </c>
    </row>
  </sheetData>
  <sheetProtection selectLockedCells="1"/>
  <mergeCells count="28">
    <mergeCell ref="M47:Q47"/>
    <mergeCell ref="A55:L55"/>
    <mergeCell ref="M55:Q55"/>
    <mergeCell ref="F11:I11"/>
    <mergeCell ref="A15:L15"/>
    <mergeCell ref="M15:Q15"/>
    <mergeCell ref="A23:L23"/>
    <mergeCell ref="M23:Q23"/>
    <mergeCell ref="A31:L31"/>
    <mergeCell ref="M31:Q31"/>
    <mergeCell ref="A39:L39"/>
    <mergeCell ref="M39:Q39"/>
    <mergeCell ref="A47:L47"/>
    <mergeCell ref="A8:C8"/>
    <mergeCell ref="F8:I8"/>
    <mergeCell ref="Q8:R10"/>
    <mergeCell ref="A9:C9"/>
    <mergeCell ref="F9:I9"/>
    <mergeCell ref="L9:M9"/>
    <mergeCell ref="A10:C10"/>
    <mergeCell ref="F10:I10"/>
    <mergeCell ref="L10:M10"/>
    <mergeCell ref="S7:T7"/>
    <mergeCell ref="G3:J3"/>
    <mergeCell ref="G4:J4"/>
    <mergeCell ref="L6:M6"/>
    <mergeCell ref="L7:M7"/>
    <mergeCell ref="Q7:R7"/>
  </mergeCells>
  <dataValidations count="7">
    <dataValidation type="whole" errorStyle="information" allowBlank="1" showErrorMessage="1" error="Eingabe außerhalb des gültigen Bereichs." prompt="20°C bis 35°C" sqref="J10" xr:uid="{00000000-0002-0000-0700-000000000000}">
      <formula1>20</formula1>
      <formula2>35</formula2>
    </dataValidation>
    <dataValidation type="whole" errorStyle="information" allowBlank="1" showErrorMessage="1" error="Eingabe außerhalb des gültigen Bereichs." prompt="Eingabe zwischen 16°C bis 30°C" sqref="D10" xr:uid="{00000000-0002-0000-0700-000001000000}">
      <formula1>16</formula1>
      <formula2>30</formula2>
    </dataValidation>
    <dataValidation type="whole" errorStyle="information" allowBlank="1" showErrorMessage="1" error="Eingabe außerhalb des gültigen Bereichs." prompt="Eingabe zwischen Vorlauftemp. und Raumtemp." sqref="D9" xr:uid="{00000000-0002-0000-0700-000002000000}">
      <formula1>D10</formula1>
      <formula2>D8</formula2>
    </dataValidation>
    <dataValidation type="whole" errorStyle="information" allowBlank="1" showErrorMessage="1" error="Temperatur außerhalb des gütligen Bereichs." prompt="Eingabe zwischen 30°C bis 95°C" sqref="D8" xr:uid="{00000000-0002-0000-0700-000003000000}">
      <formula1>30</formula1>
      <formula2>95</formula2>
    </dataValidation>
    <dataValidation type="whole" errorStyle="information" allowBlank="1" showErrorMessage="1" error="Eingabe außerhalb des gültigen Bereichs." prompt="Eingabe zwischen Vorlauftemp. und Raumtemp." sqref="J9" xr:uid="{00000000-0002-0000-0700-000004000000}">
      <formula1>J8</formula1>
      <formula2>J10</formula2>
    </dataValidation>
    <dataValidation type="whole" errorStyle="information" allowBlank="1" showErrorMessage="1" error="Eingabe außerhalb des gültigen Bereichs." prompt="Eingabe zwischen 5°C bis 20°C" sqref="J8" xr:uid="{00000000-0002-0000-0700-000005000000}">
      <formula1>5</formula1>
      <formula2>20</formula2>
    </dataValidation>
    <dataValidation type="decimal" errorStyle="information" allowBlank="1" showErrorMessage="1" error="Eingabe außerhalb des gültigen Bereichs." prompt="20°C bis 35°C" sqref="J11" xr:uid="{00000000-0002-0000-0700-000006000000}">
      <formula1>0.01</formula1>
      <formula2>1</formula2>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P1"/>
  <dimension ref="A1:W66"/>
  <sheetViews>
    <sheetView zoomScaleNormal="100" workbookViewId="0">
      <selection activeCell="K2" sqref="K2:M2"/>
    </sheetView>
  </sheetViews>
  <sheetFormatPr defaultColWidth="11.42578125" defaultRowHeight="15" x14ac:dyDescent="0.25"/>
  <cols>
    <col min="1" max="1" width="7" style="2" customWidth="1"/>
    <col min="2" max="2" width="6.140625" style="2" customWidth="1"/>
    <col min="3" max="3" width="7" style="2" customWidth="1"/>
    <col min="4" max="4" width="6.7109375" style="2" customWidth="1"/>
    <col min="5" max="19" width="7" style="2" customWidth="1"/>
    <col min="20" max="16384" width="11.42578125" style="2"/>
  </cols>
  <sheetData>
    <row r="1" spans="1:23" x14ac:dyDescent="0.25">
      <c r="A1" s="1"/>
    </row>
    <row r="2" spans="1:23" x14ac:dyDescent="0.25">
      <c r="A2" s="213" t="s">
        <v>126</v>
      </c>
      <c r="B2" s="4"/>
    </row>
    <row r="3" spans="1:23" x14ac:dyDescent="0.25">
      <c r="A3" s="1"/>
      <c r="G3" s="684" t="s">
        <v>385</v>
      </c>
      <c r="H3" s="622" t="s">
        <v>170</v>
      </c>
      <c r="I3" s="622">
        <v>0</v>
      </c>
      <c r="J3" s="623">
        <v>0</v>
      </c>
    </row>
    <row r="4" spans="1:23" x14ac:dyDescent="0.25">
      <c r="A4" s="5"/>
      <c r="G4" s="684" t="s">
        <v>384</v>
      </c>
      <c r="H4" s="622" t="s">
        <v>112</v>
      </c>
      <c r="I4" s="622">
        <v>0</v>
      </c>
      <c r="J4" s="623">
        <v>0</v>
      </c>
    </row>
    <row r="5" spans="1:23" ht="6" customHeight="1" thickBot="1" x14ac:dyDescent="0.3">
      <c r="A5" s="6"/>
      <c r="B5" s="7"/>
      <c r="C5" s="7"/>
      <c r="D5" s="7"/>
      <c r="E5" s="7"/>
      <c r="F5" s="7"/>
      <c r="G5" s="7"/>
      <c r="H5" s="7"/>
      <c r="I5" s="7"/>
      <c r="J5" s="7"/>
      <c r="K5" s="7"/>
      <c r="L5" s="7"/>
      <c r="M5" s="7"/>
      <c r="N5" s="7"/>
      <c r="O5" s="7"/>
      <c r="P5" s="7"/>
      <c r="Q5" s="8"/>
      <c r="R5" s="10"/>
      <c r="S5" s="10"/>
    </row>
    <row r="6" spans="1:23" ht="15.75" thickBot="1" x14ac:dyDescent="0.3">
      <c r="A6" s="9" t="s">
        <v>122</v>
      </c>
      <c r="B6" s="10"/>
      <c r="C6" s="10"/>
      <c r="D6" s="10"/>
      <c r="E6" s="10"/>
      <c r="F6" s="10"/>
      <c r="G6" s="10"/>
      <c r="H6" s="10"/>
      <c r="I6" s="10"/>
      <c r="J6" s="10"/>
      <c r="K6" s="10"/>
      <c r="L6" s="692" t="s">
        <v>392</v>
      </c>
      <c r="M6" s="687"/>
      <c r="N6" s="274"/>
      <c r="O6" s="10"/>
      <c r="P6" s="10"/>
      <c r="Q6" s="11"/>
      <c r="R6" s="10"/>
      <c r="S6" s="10"/>
    </row>
    <row r="7" spans="1:23" ht="15.75" thickBot="1" x14ac:dyDescent="0.3">
      <c r="A7" s="9" t="s">
        <v>378</v>
      </c>
      <c r="B7" s="10"/>
      <c r="C7" s="10"/>
      <c r="D7" s="10"/>
      <c r="E7" s="10"/>
      <c r="F7" s="12" t="s">
        <v>396</v>
      </c>
      <c r="G7" s="12"/>
      <c r="H7" s="12"/>
      <c r="I7" s="12"/>
      <c r="J7" s="10"/>
      <c r="K7" s="10"/>
      <c r="L7" s="636"/>
      <c r="M7" s="637"/>
      <c r="N7" s="275"/>
      <c r="O7" s="10"/>
      <c r="P7" s="10"/>
      <c r="Q7" s="552" t="s">
        <v>199</v>
      </c>
      <c r="R7" s="553"/>
      <c r="S7" s="552" t="s">
        <v>389</v>
      </c>
      <c r="T7" s="553"/>
    </row>
    <row r="8" spans="1:23" ht="15.75" thickBot="1" x14ac:dyDescent="0.3">
      <c r="A8" s="685" t="s">
        <v>379</v>
      </c>
      <c r="B8" s="613"/>
      <c r="C8" s="613"/>
      <c r="D8" s="13">
        <f>cal!E10</f>
        <v>65</v>
      </c>
      <c r="E8" s="52" t="str">
        <f>IF(cal!$Z$5=1,"°C",IF(cal!$Z$5=2,"°F"))</f>
        <v>°C</v>
      </c>
      <c r="F8" s="613" t="str">
        <f>A8</f>
        <v>Tillopp</v>
      </c>
      <c r="G8" s="613"/>
      <c r="H8" s="613"/>
      <c r="I8" s="613"/>
      <c r="J8" s="13">
        <f>cal!K10</f>
        <v>16</v>
      </c>
      <c r="K8" s="10" t="str">
        <f>E8</f>
        <v>°C</v>
      </c>
      <c r="L8" s="10"/>
      <c r="M8" s="10"/>
      <c r="N8" s="10"/>
      <c r="O8" s="10"/>
      <c r="P8" s="10"/>
      <c r="Q8" s="643"/>
      <c r="R8" s="644"/>
      <c r="S8" s="10"/>
    </row>
    <row r="9" spans="1:23" ht="15.75" thickBot="1" x14ac:dyDescent="0.3">
      <c r="A9" s="685" t="s">
        <v>380</v>
      </c>
      <c r="B9" s="613"/>
      <c r="C9" s="613"/>
      <c r="D9" s="13">
        <f>cal!E11</f>
        <v>55</v>
      </c>
      <c r="E9" s="52" t="str">
        <f>E8</f>
        <v>°C</v>
      </c>
      <c r="F9" s="613" t="str">
        <f>A9</f>
        <v>Retur</v>
      </c>
      <c r="G9" s="613"/>
      <c r="H9" s="613"/>
      <c r="I9" s="613"/>
      <c r="J9" s="13">
        <f>cal!K11</f>
        <v>18</v>
      </c>
      <c r="K9" s="10" t="str">
        <f>E8</f>
        <v>°C</v>
      </c>
      <c r="L9" s="686" t="s">
        <v>393</v>
      </c>
      <c r="M9" s="687"/>
      <c r="N9" s="274"/>
      <c r="O9" s="10"/>
      <c r="P9" s="10"/>
      <c r="Q9" s="645"/>
      <c r="R9" s="646"/>
      <c r="S9" s="10"/>
    </row>
    <row r="10" spans="1:23" ht="15.75" thickBot="1" x14ac:dyDescent="0.3">
      <c r="A10" s="262" t="s">
        <v>381</v>
      </c>
      <c r="B10" s="263"/>
      <c r="C10" s="263"/>
      <c r="D10" s="13">
        <f>cal!E12</f>
        <v>20</v>
      </c>
      <c r="E10" s="52" t="str">
        <f>E8</f>
        <v>°C</v>
      </c>
      <c r="F10" s="613" t="str">
        <f>A10</f>
        <v>Rum (torr)</v>
      </c>
      <c r="G10" s="613"/>
      <c r="H10" s="613"/>
      <c r="I10" s="613"/>
      <c r="J10" s="13">
        <f>cal!K12</f>
        <v>27</v>
      </c>
      <c r="K10" s="10" t="str">
        <f>E8</f>
        <v>°C</v>
      </c>
      <c r="L10" s="641"/>
      <c r="M10" s="642"/>
      <c r="N10" s="276"/>
      <c r="O10" s="10"/>
      <c r="P10" s="10"/>
      <c r="Q10" s="647"/>
      <c r="R10" s="648"/>
      <c r="S10" s="10"/>
      <c r="U10" t="s">
        <v>390</v>
      </c>
    </row>
    <row r="11" spans="1:23" x14ac:dyDescent="0.25">
      <c r="A11" s="14" t="s">
        <v>383</v>
      </c>
      <c r="B11" s="10"/>
      <c r="C11" s="10"/>
      <c r="D11" s="10"/>
      <c r="E11" s="10"/>
      <c r="F11" s="613" t="s">
        <v>382</v>
      </c>
      <c r="G11" s="613"/>
      <c r="H11" s="613"/>
      <c r="I11" s="614"/>
      <c r="J11" s="15">
        <f>cal!K14</f>
        <v>0.5</v>
      </c>
      <c r="K11" s="10"/>
      <c r="L11" s="10"/>
      <c r="M11" s="10"/>
      <c r="N11" s="10"/>
      <c r="O11" s="10"/>
      <c r="P11" s="10"/>
      <c r="Q11" s="11"/>
      <c r="R11" s="10"/>
      <c r="S11" s="10"/>
      <c r="U11" t="s">
        <v>391</v>
      </c>
    </row>
    <row r="12" spans="1:23" ht="6" customHeight="1" x14ac:dyDescent="0.25">
      <c r="A12" s="16"/>
      <c r="B12" s="17"/>
      <c r="C12" s="17"/>
      <c r="D12" s="17"/>
      <c r="E12" s="18"/>
      <c r="F12" s="18"/>
      <c r="G12" s="18"/>
      <c r="H12" s="18"/>
      <c r="I12" s="18"/>
      <c r="J12" s="18"/>
      <c r="K12" s="18"/>
      <c r="L12" s="18"/>
      <c r="M12" s="18"/>
      <c r="N12" s="18"/>
      <c r="O12" s="18"/>
      <c r="P12" s="18"/>
      <c r="Q12" s="19"/>
      <c r="R12" s="10"/>
      <c r="S12" s="10"/>
    </row>
    <row r="13" spans="1:23" x14ac:dyDescent="0.25">
      <c r="A13" s="20"/>
      <c r="B13" s="20"/>
      <c r="C13" s="20"/>
      <c r="D13" s="20"/>
      <c r="E13" s="20"/>
      <c r="F13" s="20"/>
      <c r="G13" s="20"/>
      <c r="H13" s="20"/>
      <c r="I13" s="20"/>
      <c r="J13" s="20"/>
      <c r="K13" s="20"/>
      <c r="L13" s="20"/>
      <c r="M13" s="20"/>
    </row>
    <row r="14" spans="1:23" s="28" customFormat="1" ht="95.45" customHeight="1" x14ac:dyDescent="0.25">
      <c r="A14" s="518" t="s">
        <v>394</v>
      </c>
      <c r="B14" s="519" t="s">
        <v>395</v>
      </c>
      <c r="C14" s="21" t="str">
        <f>CONCATENATE("Värme effekt * ",ROUND(D8,0),"/",ROUND(D9,0),"/",ROUND(D10,0)," ["&amp;IF(cal!$Z$5=1,"W",IF(cal!$Z$5=2,"Btu/h"))&amp;"]")</f>
        <v>Värme effekt * 65/55/20 [W]</v>
      </c>
      <c r="D14" s="23" t="str">
        <f>"Vattenflöde, värme ["&amp;IF(cal!$Z$5=1,"l/h",IF(cal!$Z$5=2,"GPM"))&amp;"]"</f>
        <v>Vattenflöde, värme [l/h]</v>
      </c>
      <c r="E14" s="27" t="str">
        <f>"Tryckfall, vatten ["&amp;IF(cal!$Z$5=1,"kPa",IF(cal!$Z$5=2,"ftH2O"))&amp;"]"</f>
        <v>Tryckfall, vatten [kPa]</v>
      </c>
      <c r="F14" s="22" t="str">
        <f>CONCATENATE("Märkbar kylkapacitet * ",ROUND(J8,0),"/",ROUND(J9,0),"/",ROUND(J10,0)," ["&amp;IF(cal!$Z$5=1,"W",IF(cal!$Z$5=2,"Btu/h"))&amp;"]")</f>
        <v>Märkbar kylkapacitet * 16/18/27 [W]</v>
      </c>
      <c r="G14" s="22" t="str">
        <f>CONCATENATE("Total kylkapacitet * ",ROUND(J8,0),"/",ROUND(J9,0),"/",ROUND(J10,0)," ["&amp;IF(cal!$Z$5=1,"W",IF(cal!$Z$5=2,"Btu/h"))&amp;"]")</f>
        <v>Total kylkapacitet * 16/18/27 [W]</v>
      </c>
      <c r="H14" s="22" t="str">
        <f>"Vattenflöde, kyla ["&amp;IF(cal!$Z$5=1,"l/h",IF(cal!$Z$5=2,"GPM"))&amp;"]"</f>
        <v>Vattenflöde, kyla [l/h]</v>
      </c>
      <c r="I14" s="22" t="str">
        <f>E14</f>
        <v>Tryckfall, vatten [kPa]</v>
      </c>
      <c r="J14" s="21" t="s">
        <v>397</v>
      </c>
      <c r="K14" s="26" t="s">
        <v>398</v>
      </c>
      <c r="L14" s="22" t="s">
        <v>399</v>
      </c>
      <c r="M14" s="27" t="str">
        <f>"Luftflöde ["&amp;IF(cal!$Z$5=1,"m³/h",IF(cal!$Z$5=2,"CFM"))&amp;"]"</f>
        <v>Luftflöde [m³/h]</v>
      </c>
      <c r="N14" s="27" t="str">
        <f>"Luft hastighet ["&amp;IF(cal!$Z$5=1,"m/s",IF(cal!$Z$5=2,"ft/min"))&amp;"]"</f>
        <v>Luft hastighet [m/s]</v>
      </c>
      <c r="O14" s="209" t="str">
        <f>"Uppvärmningsluftens temp. ["&amp;IF(cal!$Z$5=1,"°C",IF(cal!$Z$5=2,"°F"))&amp;"]"</f>
        <v>Uppvärmningsluftens temp. [°C]</v>
      </c>
      <c r="P14" s="209" t="str">
        <f>"Värme luft utloppstemp. (hum. Lampa) ["&amp;IF(cal!$Z$5=1,"°C",IF(cal!$Z$5=2,"°F"))&amp;"]"</f>
        <v>Värme luft utloppstemp. (hum. Lampa) [°C]</v>
      </c>
      <c r="Q14" s="210" t="str">
        <f>"Utloppstemp. för kylluft (torr lampa) ["&amp;IF(cal!$Z$5=1,"°C",IF(cal!$Z$5=2,"°F"))&amp;"]"</f>
        <v>Utloppstemp. för kylluft (torr lampa) [°C]</v>
      </c>
      <c r="R14" s="210" t="str">
        <f>"Kylluftens utloppstemp. (hum. Lampa) ["&amp;IF(cal!$Z$5=1,"°C",IF(cal!$Z$5=2,"°F"))&amp;"]"</f>
        <v>Kylluftens utloppstemp. (hum. Lampa) [°C]</v>
      </c>
      <c r="S14" s="211" t="s">
        <v>400</v>
      </c>
      <c r="T14" s="211" t="s">
        <v>401</v>
      </c>
      <c r="U14" t="s">
        <v>408</v>
      </c>
    </row>
    <row r="15" spans="1:23" ht="18" customHeight="1" x14ac:dyDescent="0.25">
      <c r="A15" s="688" t="str">
        <f>cal!$AK$7&amp;" "&amp;$V$16&amp;" "&amp;ROUND(cal!BK23,1)&amp;IF(cal!$Z$5=1," cm, ",IF(cal!$Z$5=2," in, "))&amp;$V$17&amp;" "&amp;ROUND(cal!BL23,1)&amp;IF(cal!$Z$5=1," cm, ",IF(cal!$Z$5=2," in, "))&amp;$V$18&amp;" "&amp;ROUND(cal!BM23,1)&amp;IF(cal!$Z$5=1," cm ",IF(cal!$Z$5=2," in "))&amp;$S15</f>
        <v>Briza 22 (230V) höjd 54,5 cm, djup 22 cm, längd 55 cm (Typ 02)</v>
      </c>
      <c r="B15" s="689"/>
      <c r="C15" s="689"/>
      <c r="D15" s="689"/>
      <c r="E15" s="689"/>
      <c r="F15" s="689"/>
      <c r="G15" s="689"/>
      <c r="H15" s="689"/>
      <c r="I15" s="689"/>
      <c r="J15" s="689"/>
      <c r="K15" s="689"/>
      <c r="L15" s="689"/>
      <c r="M15" s="690" t="str">
        <f>$U$27</f>
        <v>Beställningskod:</v>
      </c>
      <c r="N15" s="690"/>
      <c r="O15" s="690"/>
      <c r="P15" s="690"/>
      <c r="Q15" s="691"/>
      <c r="R15" s="207"/>
      <c r="S15" s="207" t="s">
        <v>436</v>
      </c>
    </row>
    <row r="16" spans="1:23" x14ac:dyDescent="0.25">
      <c r="A16" s="29"/>
      <c r="B16" s="30"/>
      <c r="C16" s="31"/>
      <c r="D16" s="32"/>
      <c r="E16" s="33"/>
      <c r="F16" s="32"/>
      <c r="G16" s="32"/>
      <c r="H16" s="32"/>
      <c r="I16" s="34"/>
      <c r="J16" s="31"/>
      <c r="K16" s="35"/>
      <c r="L16" s="36"/>
      <c r="M16" s="37"/>
      <c r="N16" s="172"/>
      <c r="Q16" s="38"/>
      <c r="U16" s="2" t="s">
        <v>402</v>
      </c>
      <c r="V16" s="2" t="s">
        <v>405</v>
      </c>
      <c r="W16" s="517" t="s">
        <v>386</v>
      </c>
    </row>
    <row r="17" spans="1:23" x14ac:dyDescent="0.25">
      <c r="A17" s="29"/>
      <c r="B17" s="30"/>
      <c r="C17" s="31"/>
      <c r="D17" s="32"/>
      <c r="E17" s="33"/>
      <c r="F17" s="32"/>
      <c r="G17" s="32"/>
      <c r="H17" s="32"/>
      <c r="I17" s="34"/>
      <c r="J17" s="31"/>
      <c r="K17" s="35"/>
      <c r="L17" s="36"/>
      <c r="M17" s="37"/>
      <c r="N17" s="172"/>
      <c r="Q17" s="38"/>
      <c r="U17" s="2" t="s">
        <v>165</v>
      </c>
      <c r="V17" s="2" t="s">
        <v>406</v>
      </c>
      <c r="W17" s="517" t="s">
        <v>387</v>
      </c>
    </row>
    <row r="18" spans="1:23" x14ac:dyDescent="0.25">
      <c r="A18" s="29"/>
      <c r="B18" s="30"/>
      <c r="C18" s="31"/>
      <c r="D18" s="32"/>
      <c r="E18" s="33"/>
      <c r="F18" s="32"/>
      <c r="G18" s="32"/>
      <c r="H18" s="32"/>
      <c r="I18" s="34"/>
      <c r="J18" s="31"/>
      <c r="K18" s="35"/>
      <c r="L18" s="36"/>
      <c r="M18" s="37"/>
      <c r="N18" s="172"/>
      <c r="Q18" s="38"/>
      <c r="U18" s="2" t="s">
        <v>403</v>
      </c>
      <c r="V18" s="2" t="s">
        <v>407</v>
      </c>
      <c r="W18" s="517" t="s">
        <v>388</v>
      </c>
    </row>
    <row r="19" spans="1:23" x14ac:dyDescent="0.25">
      <c r="A19" s="29"/>
      <c r="B19" s="30"/>
      <c r="C19" s="31"/>
      <c r="D19" s="32"/>
      <c r="E19" s="33"/>
      <c r="F19" s="32"/>
      <c r="G19" s="32"/>
      <c r="H19" s="32"/>
      <c r="I19" s="34"/>
      <c r="J19" s="31"/>
      <c r="K19" s="35"/>
      <c r="L19" s="36"/>
      <c r="M19" s="37"/>
      <c r="N19" s="172"/>
      <c r="Q19" s="38"/>
      <c r="U19" s="2" t="s">
        <v>404</v>
      </c>
      <c r="W19" s="2" t="s">
        <v>483</v>
      </c>
    </row>
    <row r="20" spans="1:23" x14ac:dyDescent="0.25">
      <c r="A20" s="29"/>
      <c r="B20" s="30"/>
      <c r="C20" s="31"/>
      <c r="D20" s="32"/>
      <c r="E20" s="33"/>
      <c r="F20" s="32"/>
      <c r="G20" s="32"/>
      <c r="H20" s="32"/>
      <c r="I20" s="34"/>
      <c r="J20" s="31"/>
      <c r="K20" s="35"/>
      <c r="L20" s="36"/>
      <c r="M20" s="37"/>
      <c r="N20" s="172"/>
      <c r="Q20" s="38"/>
      <c r="W20" s="2" t="s">
        <v>484</v>
      </c>
    </row>
    <row r="21" spans="1:23" x14ac:dyDescent="0.25">
      <c r="A21" s="29"/>
      <c r="B21" s="30"/>
      <c r="C21" s="31"/>
      <c r="D21" s="32"/>
      <c r="E21" s="33"/>
      <c r="F21" s="32"/>
      <c r="G21" s="32"/>
      <c r="H21" s="32"/>
      <c r="I21" s="34"/>
      <c r="J21" s="31"/>
      <c r="K21" s="35"/>
      <c r="L21" s="36"/>
      <c r="M21" s="37"/>
      <c r="N21" s="172"/>
      <c r="Q21" s="38"/>
      <c r="W21" s="2" t="s">
        <v>485</v>
      </c>
    </row>
    <row r="22" spans="1:23" x14ac:dyDescent="0.25">
      <c r="A22" s="43"/>
      <c r="B22" s="44"/>
      <c r="C22" s="45"/>
      <c r="D22" s="46"/>
      <c r="E22" s="47"/>
      <c r="F22" s="46"/>
      <c r="G22" s="46"/>
      <c r="H22" s="46"/>
      <c r="I22" s="48"/>
      <c r="J22" s="45"/>
      <c r="K22" s="49"/>
      <c r="L22" s="50"/>
      <c r="M22" s="51"/>
      <c r="N22" s="277"/>
      <c r="O22" s="20"/>
      <c r="P22" s="20"/>
      <c r="Q22" s="39"/>
      <c r="U22" s="2" t="s">
        <v>409</v>
      </c>
      <c r="W22" s="2" t="s">
        <v>505</v>
      </c>
    </row>
    <row r="23" spans="1:23" ht="16.899999999999999" customHeight="1" x14ac:dyDescent="0.25">
      <c r="A23" s="688" t="str">
        <f>cal!$AK$7&amp;" "&amp;$V$16&amp;" "&amp;ROUND(cal!BK31,1)&amp;IF(cal!$Z$5=1," cm, ",IF(cal!$Z$5=2," in, "))&amp;$V$17&amp;" "&amp;ROUND(cal!BL31,1)&amp;IF(cal!$Z$5=1," cm, ",IF(cal!$Z$5=2," in, "))&amp;$V$18&amp;" "&amp;ROUND(cal!BM31,1)&amp;IF(cal!$Z$5=1," cm ",IF(cal!$Z$5=2," in "))&amp;$S23</f>
        <v>Briza 22 (230V) höjd 54,5 cm, djup 22 cm, längd 75 cm (Typ 03)</v>
      </c>
      <c r="B23" s="689"/>
      <c r="C23" s="689"/>
      <c r="D23" s="689"/>
      <c r="E23" s="689"/>
      <c r="F23" s="689"/>
      <c r="G23" s="689"/>
      <c r="H23" s="689"/>
      <c r="I23" s="689"/>
      <c r="J23" s="689"/>
      <c r="K23" s="689"/>
      <c r="L23" s="689"/>
      <c r="M23" s="690" t="str">
        <f>$U$27</f>
        <v>Beställningskod:</v>
      </c>
      <c r="N23" s="690"/>
      <c r="O23" s="690"/>
      <c r="P23" s="690"/>
      <c r="Q23" s="691"/>
      <c r="R23" s="207"/>
      <c r="S23" s="207" t="s">
        <v>437</v>
      </c>
      <c r="W23" s="2" t="s">
        <v>508</v>
      </c>
    </row>
    <row r="24" spans="1:23" x14ac:dyDescent="0.25">
      <c r="A24" s="29"/>
      <c r="B24" s="30"/>
      <c r="C24" s="31"/>
      <c r="D24" s="32"/>
      <c r="E24" s="33"/>
      <c r="F24" s="32"/>
      <c r="G24" s="32"/>
      <c r="H24" s="32"/>
      <c r="I24" s="34"/>
      <c r="J24" s="31"/>
      <c r="K24" s="35"/>
      <c r="L24" s="36"/>
      <c r="M24" s="37"/>
      <c r="N24" s="172"/>
      <c r="Q24" s="38"/>
      <c r="U24" t="s">
        <v>348</v>
      </c>
    </row>
    <row r="25" spans="1:23" x14ac:dyDescent="0.25">
      <c r="A25" s="29"/>
      <c r="B25" s="30"/>
      <c r="C25" s="31"/>
      <c r="D25" s="32"/>
      <c r="E25" s="33"/>
      <c r="F25" s="32"/>
      <c r="G25" s="32"/>
      <c r="H25" s="32"/>
      <c r="I25" s="34"/>
      <c r="J25" s="31"/>
      <c r="K25" s="35"/>
      <c r="L25" s="36"/>
      <c r="M25" s="37"/>
      <c r="N25" s="172"/>
      <c r="Q25" s="38"/>
      <c r="U25" t="s">
        <v>410</v>
      </c>
    </row>
    <row r="26" spans="1:23" x14ac:dyDescent="0.25">
      <c r="A26" s="29"/>
      <c r="B26" s="30"/>
      <c r="C26" s="31"/>
      <c r="D26" s="32"/>
      <c r="E26" s="33"/>
      <c r="F26" s="32"/>
      <c r="G26" s="32"/>
      <c r="H26" s="32"/>
      <c r="I26" s="34"/>
      <c r="J26" s="31"/>
      <c r="K26" s="35"/>
      <c r="L26" s="36"/>
      <c r="M26" s="37"/>
      <c r="N26" s="172"/>
      <c r="Q26" s="38"/>
    </row>
    <row r="27" spans="1:23" x14ac:dyDescent="0.25">
      <c r="A27" s="29"/>
      <c r="B27" s="30"/>
      <c r="C27" s="31"/>
      <c r="D27" s="32"/>
      <c r="E27" s="33"/>
      <c r="F27" s="32"/>
      <c r="G27" s="32"/>
      <c r="H27" s="32"/>
      <c r="I27" s="34"/>
      <c r="J27" s="31"/>
      <c r="K27" s="35"/>
      <c r="L27" s="36"/>
      <c r="M27" s="37"/>
      <c r="N27" s="172"/>
      <c r="Q27" s="38"/>
      <c r="U27" s="2" t="s">
        <v>411</v>
      </c>
    </row>
    <row r="28" spans="1:23" x14ac:dyDescent="0.25">
      <c r="A28" s="29"/>
      <c r="B28" s="30"/>
      <c r="C28" s="31"/>
      <c r="D28" s="32"/>
      <c r="E28" s="33"/>
      <c r="F28" s="32"/>
      <c r="G28" s="32"/>
      <c r="H28" s="32"/>
      <c r="I28" s="34"/>
      <c r="J28" s="31"/>
      <c r="K28" s="35"/>
      <c r="L28" s="36"/>
      <c r="M28" s="37"/>
      <c r="N28" s="172"/>
      <c r="Q28" s="38"/>
    </row>
    <row r="29" spans="1:23" x14ac:dyDescent="0.25">
      <c r="A29" s="29"/>
      <c r="B29" s="30"/>
      <c r="C29" s="31"/>
      <c r="D29" s="32"/>
      <c r="E29" s="33"/>
      <c r="F29" s="32"/>
      <c r="G29" s="32"/>
      <c r="H29" s="32"/>
      <c r="I29" s="34"/>
      <c r="J29" s="31"/>
      <c r="K29" s="35"/>
      <c r="L29" s="36"/>
      <c r="M29" s="37"/>
      <c r="N29" s="172"/>
      <c r="Q29" s="38"/>
    </row>
    <row r="30" spans="1:23" x14ac:dyDescent="0.25">
      <c r="A30" s="43"/>
      <c r="B30" s="44"/>
      <c r="C30" s="45"/>
      <c r="D30" s="46"/>
      <c r="E30" s="47"/>
      <c r="F30" s="46"/>
      <c r="G30" s="46"/>
      <c r="H30" s="46"/>
      <c r="I30" s="48"/>
      <c r="J30" s="45"/>
      <c r="K30" s="49"/>
      <c r="L30" s="50"/>
      <c r="M30" s="51"/>
      <c r="N30" s="277"/>
      <c r="O30" s="20"/>
      <c r="P30" s="20"/>
      <c r="Q30" s="39"/>
    </row>
    <row r="31" spans="1:23" ht="18" customHeight="1" x14ac:dyDescent="0.25">
      <c r="A31" s="688" t="str">
        <f>cal!$AK$7&amp;" "&amp;$V$16&amp;" "&amp;ROUND(cal!BK39,1)&amp;IF(cal!$Z$5=1," cm, ",IF(cal!$Z$5=2," in, "))&amp;$V$17&amp;" "&amp;ROUND(cal!BL39,1)&amp;IF(cal!$Z$5=1," cm, ",IF(cal!$Z$5=2," in, "))&amp;$V$18&amp;" "&amp;ROUND(cal!BM39,1)&amp;IF(cal!$Z$5=1," cm ",IF(cal!$Z$5=2," in "))&amp;$S31</f>
        <v>Briza 22 (230V) höjd 54,5 cm, djup 22 cm, längd 95 cm (Typ 04)</v>
      </c>
      <c r="B31" s="689"/>
      <c r="C31" s="689"/>
      <c r="D31" s="689"/>
      <c r="E31" s="689"/>
      <c r="F31" s="689"/>
      <c r="G31" s="689"/>
      <c r="H31" s="689"/>
      <c r="I31" s="689"/>
      <c r="J31" s="689"/>
      <c r="K31" s="689"/>
      <c r="L31" s="689"/>
      <c r="M31" s="690" t="str">
        <f>$U$27</f>
        <v>Beställningskod:</v>
      </c>
      <c r="N31" s="690"/>
      <c r="O31" s="690"/>
      <c r="P31" s="690"/>
      <c r="Q31" s="691"/>
      <c r="R31" s="207"/>
      <c r="S31" s="207" t="s">
        <v>438</v>
      </c>
    </row>
    <row r="32" spans="1:23" x14ac:dyDescent="0.25">
      <c r="A32" s="29"/>
      <c r="B32" s="30"/>
      <c r="C32" s="31"/>
      <c r="D32" s="32"/>
      <c r="E32" s="33"/>
      <c r="F32" s="32"/>
      <c r="G32" s="32"/>
      <c r="H32" s="32"/>
      <c r="I32" s="34"/>
      <c r="J32" s="31"/>
      <c r="K32" s="35"/>
      <c r="L32" s="36"/>
      <c r="M32" s="37"/>
      <c r="N32" s="172"/>
      <c r="Q32" s="38"/>
    </row>
    <row r="33" spans="1:19" x14ac:dyDescent="0.25">
      <c r="A33" s="29"/>
      <c r="B33" s="30"/>
      <c r="C33" s="31"/>
      <c r="D33" s="32"/>
      <c r="E33" s="33"/>
      <c r="F33" s="32"/>
      <c r="G33" s="32"/>
      <c r="H33" s="32"/>
      <c r="I33" s="34"/>
      <c r="J33" s="31"/>
      <c r="K33" s="35"/>
      <c r="L33" s="36"/>
      <c r="M33" s="37"/>
      <c r="N33" s="172"/>
      <c r="Q33" s="38"/>
    </row>
    <row r="34" spans="1:19" x14ac:dyDescent="0.25">
      <c r="A34" s="29"/>
      <c r="B34" s="30"/>
      <c r="C34" s="31"/>
      <c r="D34" s="32"/>
      <c r="E34" s="33"/>
      <c r="F34" s="32"/>
      <c r="G34" s="32"/>
      <c r="H34" s="32"/>
      <c r="I34" s="34"/>
      <c r="J34" s="31"/>
      <c r="K34" s="35"/>
      <c r="L34" s="36"/>
      <c r="M34" s="37"/>
      <c r="N34" s="172"/>
      <c r="Q34" s="38"/>
    </row>
    <row r="35" spans="1:19" x14ac:dyDescent="0.25">
      <c r="A35" s="29"/>
      <c r="B35" s="30"/>
      <c r="C35" s="31"/>
      <c r="D35" s="32"/>
      <c r="E35" s="33"/>
      <c r="F35" s="32"/>
      <c r="G35" s="32"/>
      <c r="H35" s="32"/>
      <c r="I35" s="34"/>
      <c r="J35" s="31"/>
      <c r="K35" s="35"/>
      <c r="L35" s="36"/>
      <c r="M35" s="37"/>
      <c r="N35" s="172"/>
      <c r="Q35" s="38"/>
    </row>
    <row r="36" spans="1:19" x14ac:dyDescent="0.25">
      <c r="A36" s="29"/>
      <c r="B36" s="30"/>
      <c r="C36" s="31"/>
      <c r="D36" s="32"/>
      <c r="E36" s="33"/>
      <c r="F36" s="32"/>
      <c r="G36" s="32"/>
      <c r="H36" s="32"/>
      <c r="I36" s="34"/>
      <c r="J36" s="31"/>
      <c r="K36" s="35"/>
      <c r="L36" s="36"/>
      <c r="M36" s="37"/>
      <c r="N36" s="172"/>
      <c r="Q36" s="38"/>
    </row>
    <row r="37" spans="1:19" x14ac:dyDescent="0.25">
      <c r="A37" s="29"/>
      <c r="B37" s="30"/>
      <c r="C37" s="31"/>
      <c r="D37" s="32"/>
      <c r="E37" s="33"/>
      <c r="F37" s="32"/>
      <c r="G37" s="32"/>
      <c r="H37" s="32"/>
      <c r="I37" s="34"/>
      <c r="J37" s="31"/>
      <c r="K37" s="35"/>
      <c r="L37" s="36"/>
      <c r="M37" s="37"/>
      <c r="N37" s="172"/>
      <c r="Q37" s="38"/>
    </row>
    <row r="38" spans="1:19" x14ac:dyDescent="0.25">
      <c r="A38" s="43"/>
      <c r="B38" s="44"/>
      <c r="C38" s="45"/>
      <c r="D38" s="46"/>
      <c r="E38" s="47"/>
      <c r="F38" s="46"/>
      <c r="G38" s="46"/>
      <c r="H38" s="46"/>
      <c r="I38" s="48"/>
      <c r="J38" s="45"/>
      <c r="K38" s="49"/>
      <c r="L38" s="50"/>
      <c r="M38" s="51"/>
      <c r="N38" s="277"/>
      <c r="O38" s="20"/>
      <c r="P38" s="20"/>
      <c r="Q38" s="39"/>
    </row>
    <row r="39" spans="1:19" ht="16.899999999999999" customHeight="1" x14ac:dyDescent="0.25">
      <c r="A39" s="688" t="str">
        <f>cal!$AK$7&amp;" "&amp;$V$16&amp;" "&amp;ROUND(cal!BK47,1)&amp;IF(cal!$Z$5=1," cm, ",IF(cal!$Z$5=2," in, "))&amp;$V$17&amp;" "&amp;ROUND(cal!BL47,1)&amp;IF(cal!$Z$5=1," cm, ",IF(cal!$Z$5=2," in, "))&amp;$V$18&amp;" "&amp;ROUND(cal!BM47,1)&amp;IF(cal!$Z$5=1," cm ",IF(cal!$Z$5=2," in "))&amp;$S39</f>
        <v>Briza 22 (230V) höjd 54,5 cm, djup 22 cm, längd 125 cm (Typ 06)</v>
      </c>
      <c r="B39" s="689"/>
      <c r="C39" s="689"/>
      <c r="D39" s="689"/>
      <c r="E39" s="689"/>
      <c r="F39" s="689"/>
      <c r="G39" s="689"/>
      <c r="H39" s="689"/>
      <c r="I39" s="689"/>
      <c r="J39" s="689"/>
      <c r="K39" s="689"/>
      <c r="L39" s="689"/>
      <c r="M39" s="690" t="str">
        <f>$U$27</f>
        <v>Beställningskod:</v>
      </c>
      <c r="N39" s="690"/>
      <c r="O39" s="690"/>
      <c r="P39" s="690"/>
      <c r="Q39" s="691"/>
      <c r="R39" s="207"/>
      <c r="S39" s="207" t="s">
        <v>439</v>
      </c>
    </row>
    <row r="40" spans="1:19" x14ac:dyDescent="0.25">
      <c r="A40" s="29"/>
      <c r="B40" s="30"/>
      <c r="C40" s="31"/>
      <c r="D40" s="32"/>
      <c r="E40" s="33"/>
      <c r="F40" s="32"/>
      <c r="G40" s="32"/>
      <c r="H40" s="32"/>
      <c r="I40" s="34"/>
      <c r="J40" s="31"/>
      <c r="K40" s="35"/>
      <c r="L40" s="36"/>
      <c r="M40" s="37"/>
      <c r="N40" s="172"/>
      <c r="Q40" s="38"/>
    </row>
    <row r="41" spans="1:19" x14ac:dyDescent="0.25">
      <c r="A41" s="29"/>
      <c r="B41" s="30"/>
      <c r="C41" s="31"/>
      <c r="D41" s="32"/>
      <c r="E41" s="33"/>
      <c r="F41" s="32"/>
      <c r="G41" s="32"/>
      <c r="H41" s="32"/>
      <c r="I41" s="34"/>
      <c r="J41" s="31"/>
      <c r="K41" s="35"/>
      <c r="L41" s="36"/>
      <c r="M41" s="37"/>
      <c r="N41" s="172"/>
      <c r="Q41" s="38"/>
    </row>
    <row r="42" spans="1:19" x14ac:dyDescent="0.25">
      <c r="A42" s="29"/>
      <c r="B42" s="30"/>
      <c r="C42" s="31"/>
      <c r="D42" s="32"/>
      <c r="E42" s="33"/>
      <c r="F42" s="32"/>
      <c r="G42" s="32"/>
      <c r="H42" s="32"/>
      <c r="I42" s="34"/>
      <c r="J42" s="31"/>
      <c r="K42" s="35"/>
      <c r="L42" s="36"/>
      <c r="M42" s="37"/>
      <c r="N42" s="172"/>
      <c r="Q42" s="38"/>
    </row>
    <row r="43" spans="1:19" x14ac:dyDescent="0.25">
      <c r="A43" s="29"/>
      <c r="B43" s="30"/>
      <c r="C43" s="31"/>
      <c r="D43" s="32"/>
      <c r="E43" s="33"/>
      <c r="F43" s="32"/>
      <c r="G43" s="32"/>
      <c r="H43" s="32"/>
      <c r="I43" s="34"/>
      <c r="J43" s="31"/>
      <c r="K43" s="35"/>
      <c r="L43" s="36"/>
      <c r="M43" s="37"/>
      <c r="N43" s="172"/>
      <c r="Q43" s="38"/>
    </row>
    <row r="44" spans="1:19" x14ac:dyDescent="0.25">
      <c r="A44" s="29"/>
      <c r="B44" s="30"/>
      <c r="C44" s="31"/>
      <c r="D44" s="32"/>
      <c r="E44" s="33"/>
      <c r="F44" s="32"/>
      <c r="G44" s="32"/>
      <c r="H44" s="32"/>
      <c r="I44" s="34"/>
      <c r="J44" s="31"/>
      <c r="K44" s="35"/>
      <c r="L44" s="36"/>
      <c r="M44" s="37"/>
      <c r="N44" s="172"/>
      <c r="Q44" s="38"/>
    </row>
    <row r="45" spans="1:19" x14ac:dyDescent="0.25">
      <c r="A45" s="29"/>
      <c r="B45" s="30"/>
      <c r="C45" s="31"/>
      <c r="D45" s="32"/>
      <c r="E45" s="33"/>
      <c r="F45" s="32"/>
      <c r="G45" s="32"/>
      <c r="H45" s="32"/>
      <c r="I45" s="34"/>
      <c r="J45" s="31"/>
      <c r="K45" s="35"/>
      <c r="L45" s="36"/>
      <c r="M45" s="37"/>
      <c r="N45" s="172"/>
      <c r="Q45" s="38"/>
    </row>
    <row r="46" spans="1:19" x14ac:dyDescent="0.25">
      <c r="A46" s="43"/>
      <c r="B46" s="44"/>
      <c r="C46" s="45"/>
      <c r="D46" s="46"/>
      <c r="E46" s="47"/>
      <c r="F46" s="46"/>
      <c r="G46" s="46"/>
      <c r="H46" s="46"/>
      <c r="I46" s="48"/>
      <c r="J46" s="45"/>
      <c r="K46" s="49"/>
      <c r="L46" s="50"/>
      <c r="M46" s="51"/>
      <c r="N46" s="277"/>
      <c r="O46" s="20"/>
      <c r="P46" s="20"/>
      <c r="Q46" s="39"/>
    </row>
    <row r="47" spans="1:19" x14ac:dyDescent="0.25">
      <c r="A47" s="688" t="str">
        <f>cal!$AK$7&amp;" "&amp;$V$16&amp;" "&amp;ROUND(cal!BK55,1)&amp;IF(cal!$Z$5=1," cm, ",IF(cal!$Z$5=2," in, "))&amp;$V$17&amp;" "&amp;ROUND(cal!BL55,1)&amp;IF(cal!$Z$5=1," cm, ",IF(cal!$Z$5=2," in, "))&amp;$V$18&amp;" "&amp;ROUND(cal!BM55,1)&amp;IF(cal!$Z$5=1," cm ",IF(cal!$Z$5=2," in "))&amp;$S47</f>
        <v>Briza 22 (230V) höjd 54,5 cm, djup 22 cm, längd 155 cm (Typ 08)</v>
      </c>
      <c r="B47" s="689"/>
      <c r="C47" s="689"/>
      <c r="D47" s="689"/>
      <c r="E47" s="689"/>
      <c r="F47" s="689"/>
      <c r="G47" s="689"/>
      <c r="H47" s="689"/>
      <c r="I47" s="689"/>
      <c r="J47" s="689"/>
      <c r="K47" s="689"/>
      <c r="L47" s="689"/>
      <c r="M47" s="690" t="str">
        <f>$U$27</f>
        <v>Beställningskod:</v>
      </c>
      <c r="N47" s="690"/>
      <c r="O47" s="690"/>
      <c r="P47" s="690"/>
      <c r="Q47" s="691"/>
      <c r="R47" s="207"/>
      <c r="S47" s="207" t="s">
        <v>440</v>
      </c>
    </row>
    <row r="48" spans="1:19" x14ac:dyDescent="0.25">
      <c r="A48" s="29"/>
      <c r="B48" s="30"/>
      <c r="C48" s="31"/>
      <c r="D48" s="32"/>
      <c r="E48" s="33"/>
      <c r="F48" s="32"/>
      <c r="G48" s="32"/>
      <c r="H48" s="32"/>
      <c r="I48" s="34"/>
      <c r="J48" s="31"/>
      <c r="K48" s="35"/>
      <c r="L48" s="36"/>
      <c r="M48" s="37"/>
      <c r="N48" s="172"/>
      <c r="Q48" s="38"/>
    </row>
    <row r="49" spans="1:19" x14ac:dyDescent="0.25">
      <c r="A49" s="29"/>
      <c r="B49" s="30"/>
      <c r="C49" s="31"/>
      <c r="D49" s="32"/>
      <c r="E49" s="33"/>
      <c r="F49" s="32"/>
      <c r="G49" s="32"/>
      <c r="H49" s="32"/>
      <c r="I49" s="34"/>
      <c r="J49" s="31"/>
      <c r="K49" s="35"/>
      <c r="L49" s="36"/>
      <c r="M49" s="37"/>
      <c r="N49" s="172"/>
      <c r="Q49" s="38"/>
    </row>
    <row r="50" spans="1:19" x14ac:dyDescent="0.25">
      <c r="A50" s="29"/>
      <c r="B50" s="30"/>
      <c r="C50" s="31"/>
      <c r="D50" s="32"/>
      <c r="E50" s="33"/>
      <c r="F50" s="32"/>
      <c r="G50" s="32"/>
      <c r="H50" s="32"/>
      <c r="I50" s="34"/>
      <c r="J50" s="31"/>
      <c r="K50" s="35"/>
      <c r="L50" s="36"/>
      <c r="M50" s="37"/>
      <c r="N50" s="172"/>
      <c r="Q50" s="38"/>
    </row>
    <row r="51" spans="1:19" x14ac:dyDescent="0.25">
      <c r="A51" s="29"/>
      <c r="B51" s="30"/>
      <c r="C51" s="31"/>
      <c r="D51" s="32"/>
      <c r="E51" s="33"/>
      <c r="F51" s="32"/>
      <c r="G51" s="32"/>
      <c r="H51" s="32"/>
      <c r="I51" s="34"/>
      <c r="J51" s="31"/>
      <c r="K51" s="35"/>
      <c r="L51" s="36"/>
      <c r="M51" s="37"/>
      <c r="N51" s="172"/>
      <c r="Q51" s="38"/>
    </row>
    <row r="52" spans="1:19" x14ac:dyDescent="0.25">
      <c r="A52" s="29"/>
      <c r="B52" s="30"/>
      <c r="C52" s="31"/>
      <c r="D52" s="32"/>
      <c r="E52" s="33"/>
      <c r="F52" s="32"/>
      <c r="G52" s="32"/>
      <c r="H52" s="32"/>
      <c r="I52" s="34"/>
      <c r="J52" s="31"/>
      <c r="K52" s="35"/>
      <c r="L52" s="36"/>
      <c r="M52" s="37"/>
      <c r="N52" s="172"/>
      <c r="Q52" s="38"/>
    </row>
    <row r="53" spans="1:19" x14ac:dyDescent="0.25">
      <c r="A53" s="29"/>
      <c r="B53" s="30"/>
      <c r="C53" s="31"/>
      <c r="D53" s="32"/>
      <c r="E53" s="33"/>
      <c r="F53" s="32"/>
      <c r="G53" s="32"/>
      <c r="H53" s="32"/>
      <c r="I53" s="34"/>
      <c r="J53" s="31"/>
      <c r="K53" s="35"/>
      <c r="L53" s="36"/>
      <c r="M53" s="37"/>
      <c r="N53" s="172"/>
      <c r="Q53" s="38"/>
    </row>
    <row r="54" spans="1:19" x14ac:dyDescent="0.25">
      <c r="A54" s="43"/>
      <c r="B54" s="44"/>
      <c r="C54" s="45"/>
      <c r="D54" s="46"/>
      <c r="E54" s="47"/>
      <c r="F54" s="46"/>
      <c r="G54" s="46"/>
      <c r="H54" s="46"/>
      <c r="I54" s="48"/>
      <c r="J54" s="45"/>
      <c r="K54" s="49"/>
      <c r="L54" s="50"/>
      <c r="M54" s="51"/>
      <c r="N54" s="277"/>
      <c r="O54" s="20"/>
      <c r="P54" s="20"/>
      <c r="Q54" s="39"/>
    </row>
    <row r="55" spans="1:19" x14ac:dyDescent="0.25">
      <c r="A55" s="688" t="str">
        <f>cal!$AK$7&amp;" "&amp;$V$16&amp;" "&amp;ROUND(cal!BK63,1)&amp;IF(cal!$Z$5=1," cm, ",IF(cal!$Z$5=2," in, "))&amp;$V$17&amp;" "&amp;ROUND(cal!BL63,1)&amp;IF(cal!$Z$5=1," cm, ",IF(cal!$Z$5=2," in, "))&amp;$V$18&amp;" "&amp;ROUND(cal!BM63,1)&amp;IF(cal!$Z$5=1," cm ",IF(cal!$Z$5=2," in "))&amp;$S55</f>
        <v>Briza 22 (230V) höjd 54,5 cm, djup 22 cm, längd 190 cm (Typ 10)</v>
      </c>
      <c r="B55" s="689"/>
      <c r="C55" s="689"/>
      <c r="D55" s="689"/>
      <c r="E55" s="689"/>
      <c r="F55" s="689"/>
      <c r="G55" s="689"/>
      <c r="H55" s="689"/>
      <c r="I55" s="689"/>
      <c r="J55" s="689"/>
      <c r="K55" s="689"/>
      <c r="L55" s="689"/>
      <c r="M55" s="690" t="str">
        <f>$U$27</f>
        <v>Beställningskod:</v>
      </c>
      <c r="N55" s="690"/>
      <c r="O55" s="690"/>
      <c r="P55" s="690"/>
      <c r="Q55" s="691"/>
      <c r="R55" s="207"/>
      <c r="S55" s="207" t="s">
        <v>441</v>
      </c>
    </row>
    <row r="56" spans="1:19" x14ac:dyDescent="0.25">
      <c r="A56" s="29"/>
      <c r="B56" s="30"/>
      <c r="C56" s="31"/>
      <c r="D56" s="32"/>
      <c r="E56" s="33"/>
      <c r="F56" s="32"/>
      <c r="G56" s="32"/>
      <c r="H56" s="32"/>
      <c r="I56" s="34"/>
      <c r="J56" s="31"/>
      <c r="K56" s="35"/>
      <c r="L56" s="36"/>
      <c r="M56" s="37"/>
      <c r="N56" s="172"/>
      <c r="Q56" s="38"/>
    </row>
    <row r="57" spans="1:19" x14ac:dyDescent="0.25">
      <c r="A57" s="29"/>
      <c r="B57" s="30"/>
      <c r="C57" s="31"/>
      <c r="D57" s="32"/>
      <c r="E57" s="33"/>
      <c r="F57" s="32"/>
      <c r="G57" s="32"/>
      <c r="H57" s="32"/>
      <c r="I57" s="34"/>
      <c r="J57" s="31"/>
      <c r="K57" s="35"/>
      <c r="L57" s="36"/>
      <c r="M57" s="37"/>
      <c r="N57" s="172"/>
      <c r="Q57" s="38"/>
    </row>
    <row r="58" spans="1:19" x14ac:dyDescent="0.25">
      <c r="A58" s="29"/>
      <c r="B58" s="30"/>
      <c r="C58" s="31"/>
      <c r="D58" s="32"/>
      <c r="E58" s="33"/>
      <c r="F58" s="32"/>
      <c r="G58" s="32"/>
      <c r="H58" s="32"/>
      <c r="I58" s="34"/>
      <c r="J58" s="31"/>
      <c r="K58" s="35"/>
      <c r="L58" s="36"/>
      <c r="M58" s="37"/>
      <c r="N58" s="172"/>
      <c r="Q58" s="38"/>
    </row>
    <row r="59" spans="1:19" x14ac:dyDescent="0.25">
      <c r="A59" s="29"/>
      <c r="B59" s="30"/>
      <c r="C59" s="31"/>
      <c r="D59" s="32"/>
      <c r="E59" s="33"/>
      <c r="F59" s="32"/>
      <c r="G59" s="32"/>
      <c r="H59" s="32"/>
      <c r="I59" s="34"/>
      <c r="J59" s="31"/>
      <c r="K59" s="35"/>
      <c r="L59" s="36"/>
      <c r="M59" s="37"/>
      <c r="N59" s="172"/>
      <c r="Q59" s="38"/>
    </row>
    <row r="60" spans="1:19" x14ac:dyDescent="0.25">
      <c r="A60" s="29"/>
      <c r="B60" s="30"/>
      <c r="C60" s="31"/>
      <c r="D60" s="32"/>
      <c r="E60" s="33"/>
      <c r="F60" s="32"/>
      <c r="G60" s="32"/>
      <c r="H60" s="32"/>
      <c r="I60" s="34"/>
      <c r="J60" s="31"/>
      <c r="K60" s="35"/>
      <c r="L60" s="36"/>
      <c r="M60" s="37"/>
      <c r="N60" s="172"/>
      <c r="Q60" s="38"/>
    </row>
    <row r="61" spans="1:19" x14ac:dyDescent="0.25">
      <c r="A61" s="29"/>
      <c r="B61" s="30"/>
      <c r="C61" s="31"/>
      <c r="D61" s="32"/>
      <c r="E61" s="33"/>
      <c r="F61" s="32"/>
      <c r="G61" s="32"/>
      <c r="H61" s="32"/>
      <c r="I61" s="34"/>
      <c r="J61" s="31"/>
      <c r="K61" s="35"/>
      <c r="L61" s="36"/>
      <c r="M61" s="37"/>
      <c r="N61" s="172"/>
      <c r="Q61" s="38"/>
    </row>
    <row r="62" spans="1:19" x14ac:dyDescent="0.25">
      <c r="A62" s="43"/>
      <c r="B62" s="44"/>
      <c r="C62" s="45"/>
      <c r="D62" s="46"/>
      <c r="E62" s="47"/>
      <c r="F62" s="46"/>
      <c r="G62" s="46"/>
      <c r="H62" s="46"/>
      <c r="I62" s="48"/>
      <c r="J62" s="45"/>
      <c r="K62" s="49"/>
      <c r="L62" s="50"/>
      <c r="M62" s="51"/>
      <c r="N62" s="277"/>
      <c r="O62" s="20"/>
      <c r="P62" s="20"/>
      <c r="Q62" s="39"/>
    </row>
    <row r="63" spans="1:19" ht="9.4" customHeight="1" x14ac:dyDescent="0.25">
      <c r="A63" s="280" t="s">
        <v>412</v>
      </c>
      <c r="L63" s="41"/>
      <c r="M63" s="42"/>
      <c r="N63" s="42"/>
      <c r="Q63" s="42">
        <f>cal!Q63</f>
        <v>0</v>
      </c>
      <c r="R63" s="42"/>
      <c r="S63" s="42"/>
    </row>
    <row r="64" spans="1:19" ht="9.4" customHeight="1" x14ac:dyDescent="0.25">
      <c r="A64" s="40" t="s">
        <v>413</v>
      </c>
    </row>
    <row r="65" spans="1:1" ht="9.4" customHeight="1" x14ac:dyDescent="0.25">
      <c r="A65" s="40" t="s">
        <v>414</v>
      </c>
    </row>
    <row r="66" spans="1:1" ht="9.4" customHeight="1" x14ac:dyDescent="0.25">
      <c r="A66" s="40" t="s">
        <v>415</v>
      </c>
    </row>
  </sheetData>
  <sheetProtection selectLockedCells="1"/>
  <mergeCells count="27">
    <mergeCell ref="S7:T7"/>
    <mergeCell ref="G3:J3"/>
    <mergeCell ref="G4:J4"/>
    <mergeCell ref="L6:M6"/>
    <mergeCell ref="L7:M7"/>
    <mergeCell ref="Q7:R7"/>
    <mergeCell ref="A31:L31"/>
    <mergeCell ref="M31:Q31"/>
    <mergeCell ref="A8:C8"/>
    <mergeCell ref="F8:I8"/>
    <mergeCell ref="Q8:R10"/>
    <mergeCell ref="A9:C9"/>
    <mergeCell ref="F9:I9"/>
    <mergeCell ref="L9:M9"/>
    <mergeCell ref="F10:I10"/>
    <mergeCell ref="L10:M10"/>
    <mergeCell ref="F11:I11"/>
    <mergeCell ref="A15:L15"/>
    <mergeCell ref="M15:Q15"/>
    <mergeCell ref="A23:L23"/>
    <mergeCell ref="M23:Q23"/>
    <mergeCell ref="A39:L39"/>
    <mergeCell ref="M39:Q39"/>
    <mergeCell ref="A47:L47"/>
    <mergeCell ref="M47:Q47"/>
    <mergeCell ref="A55:L55"/>
    <mergeCell ref="M55:Q55"/>
  </mergeCells>
  <dataValidations count="7">
    <dataValidation type="decimal" errorStyle="information" allowBlank="1" showErrorMessage="1" error="Eingabe außerhalb des gültigen Bereichs." prompt="20°C bis 35°C" sqref="J11" xr:uid="{00000000-0002-0000-0800-000000000000}">
      <formula1>0.01</formula1>
      <formula2>1</formula2>
    </dataValidation>
    <dataValidation type="whole" errorStyle="information" allowBlank="1" showErrorMessage="1" error="Eingabe außerhalb des gültigen Bereichs." prompt="Eingabe zwischen 5°C bis 20°C" sqref="J8" xr:uid="{00000000-0002-0000-0800-000001000000}">
      <formula1>5</formula1>
      <formula2>20</formula2>
    </dataValidation>
    <dataValidation type="whole" errorStyle="information" allowBlank="1" showErrorMessage="1" error="Eingabe außerhalb des gültigen Bereichs." prompt="Eingabe zwischen Vorlauftemp. und Raumtemp." sqref="J9" xr:uid="{00000000-0002-0000-0800-000002000000}">
      <formula1>J8</formula1>
      <formula2>J10</formula2>
    </dataValidation>
    <dataValidation type="whole" errorStyle="information" allowBlank="1" showErrorMessage="1" error="Temperatur außerhalb des gütligen Bereichs." prompt="Eingabe zwischen 30°C bis 95°C" sqref="D8" xr:uid="{00000000-0002-0000-0800-000003000000}">
      <formula1>30</formula1>
      <formula2>95</formula2>
    </dataValidation>
    <dataValidation type="whole" errorStyle="information" allowBlank="1" showErrorMessage="1" error="Eingabe außerhalb des gültigen Bereichs." prompt="Eingabe zwischen Vorlauftemp. und Raumtemp." sqref="D9" xr:uid="{00000000-0002-0000-0800-000004000000}">
      <formula1>D10</formula1>
      <formula2>D8</formula2>
    </dataValidation>
    <dataValidation type="whole" errorStyle="information" allowBlank="1" showErrorMessage="1" error="Eingabe außerhalb des gültigen Bereichs." prompt="Eingabe zwischen 16°C bis 30°C" sqref="D10" xr:uid="{00000000-0002-0000-0800-000005000000}">
      <formula1>16</formula1>
      <formula2>30</formula2>
    </dataValidation>
    <dataValidation type="whole" errorStyle="information" allowBlank="1" showErrorMessage="1" error="Eingabe außerhalb des gültigen Bereichs." prompt="20°C bis 35°C" sqref="J10" xr:uid="{00000000-0002-0000-0800-000006000000}">
      <formula1>20</formula1>
      <formula2>35</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43</vt:i4>
      </vt:variant>
    </vt:vector>
  </HeadingPairs>
  <TitlesOfParts>
    <vt:vector size="56" baseType="lpstr">
      <vt:lpstr>Briza 22 &amp; 26</vt:lpstr>
      <vt:lpstr>cal</vt:lpstr>
      <vt:lpstr>NL</vt:lpstr>
      <vt:lpstr>EN</vt:lpstr>
      <vt:lpstr>DE</vt:lpstr>
      <vt:lpstr>FR</vt:lpstr>
      <vt:lpstr>NR</vt:lpstr>
      <vt:lpstr>SP</vt:lpstr>
      <vt:lpstr>SW</vt:lpstr>
      <vt:lpstr>TS</vt:lpstr>
      <vt:lpstr>ExtraTaal1</vt:lpstr>
      <vt:lpstr>ExtraTaal2</vt:lpstr>
      <vt:lpstr>ExtraTaal3</vt:lpstr>
      <vt:lpstr>AdditNo</vt:lpstr>
      <vt:lpstr>AditPercent</vt:lpstr>
      <vt:lpstr>BrizaNo</vt:lpstr>
      <vt:lpstr>BulbNo</vt:lpstr>
      <vt:lpstr>ByPassFactor</vt:lpstr>
      <vt:lpstr>CalcNo</vt:lpstr>
      <vt:lpstr>CaseNo</vt:lpstr>
      <vt:lpstr>Celc1</vt:lpstr>
      <vt:lpstr>Celc2</vt:lpstr>
      <vt:lpstr>CF_Addit</vt:lpstr>
      <vt:lpstr>CF_Altit</vt:lpstr>
      <vt:lpstr>CF_Case</vt:lpstr>
      <vt:lpstr>CFMs</vt:lpstr>
      <vt:lpstr>Cubics</vt:lpstr>
      <vt:lpstr>dp</vt:lpstr>
      <vt:lpstr>FeetMins</vt:lpstr>
      <vt:lpstr>FlowH2O</vt:lpstr>
      <vt:lpstr>FreshH2O</vt:lpstr>
      <vt:lpstr>Geg_Altit</vt:lpstr>
      <vt:lpstr>Geg_dP</vt:lpstr>
      <vt:lpstr>hi</vt:lpstr>
      <vt:lpstr>kgss</vt:lpstr>
      <vt:lpstr>kPa</vt:lpstr>
      <vt:lpstr>LangNo</vt:lpstr>
      <vt:lpstr>Lim_Cool</vt:lpstr>
      <vt:lpstr>Lim_dP</vt:lpstr>
      <vt:lpstr>Lim_Heat</vt:lpstr>
      <vt:lpstr>LIm_T</vt:lpstr>
      <vt:lpstr>MilInch</vt:lpstr>
      <vt:lpstr>Mounts</vt:lpstr>
      <vt:lpstr>p_atm</vt:lpstr>
      <vt:lpstr>RH</vt:lpstr>
      <vt:lpstr>T_kantel</vt:lpstr>
      <vt:lpstr>Tl_cool</vt:lpstr>
      <vt:lpstr>Tl_heat</vt:lpstr>
      <vt:lpstr>Tr_cool</vt:lpstr>
      <vt:lpstr>Tr_heat</vt:lpstr>
      <vt:lpstr>Tv_cool</vt:lpstr>
      <vt:lpstr>Tv_heat</vt:lpstr>
      <vt:lpstr>Types</vt:lpstr>
      <vt:lpstr>UnitsNo</vt:lpstr>
      <vt:lpstr>VentNo</vt:lpstr>
      <vt:lpstr>Watts</vt:lpstr>
    </vt:vector>
  </TitlesOfParts>
  <Company>Jaga NV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Selectiontool Briza22</dc:title>
  <dc:subject>Briza22</dc:subject>
  <dc:creator>Jaga NV</dc:creator>
  <dc:description/>
  <cp:lastModifiedBy>Senne Swyns</cp:lastModifiedBy>
  <cp:lastPrinted>2018-03-05T07:04:48Z</cp:lastPrinted>
  <dcterms:created xsi:type="dcterms:W3CDTF">2016-04-18T12:28:50Z</dcterms:created>
  <dcterms:modified xsi:type="dcterms:W3CDTF">2023-01-31T10:52:21Z</dcterms:modified>
  <cp:category>Selectiontools</cp:category>
  <cp:contentStatus>Internal use</cp:contentStatus>
</cp:coreProperties>
</file>