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 codeName="{AE6600E7-7A62-396C-DE95-9942FA9DD81E}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dmajc\Desktop\"/>
    </mc:Choice>
  </mc:AlternateContent>
  <xr:revisionPtr revIDLastSave="0" documentId="8_{9A69CC84-C880-4EEF-89E7-BB246010D934}" xr6:coauthVersionLast="47" xr6:coauthVersionMax="47" xr10:uidLastSave="{00000000-0000-0000-0000-000000000000}"/>
  <workbookProtection workbookAlgorithmName="SHA-512" workbookHashValue="6Yp5Et6S/aP7dBUawVOx9CLb64PJotGZEXsHHAHG+LPRamuSHUjqcdKrEwM8w4OqSudIXu/UAXvEWamo2Ytj1w==" workbookSaltValue="gftQkIzI6MS2KIKPSnXf6A==" workbookSpinCount="100000" lockStructure="1"/>
  <bookViews>
    <workbookView xWindow="38290" yWindow="-110" windowWidth="38620" windowHeight="21100" xr2:uid="{00000000-000D-0000-FFFF-FFFF00000000}"/>
  </bookViews>
  <sheets>
    <sheet name="Freedom" sheetId="16" r:id="rId1"/>
    <sheet name="cal" sheetId="8" state="hidden" r:id="rId2"/>
    <sheet name="NL" sheetId="9" state="hidden" r:id="rId3"/>
    <sheet name="EN" sheetId="13" state="hidden" r:id="rId4"/>
    <sheet name="DE" sheetId="14" state="hidden" r:id="rId5"/>
    <sheet name="FR" sheetId="15" state="hidden" r:id="rId6"/>
    <sheet name="NR" sheetId="17" state="hidden" r:id="rId7"/>
    <sheet name="SP" sheetId="18" state="hidden" r:id="rId8"/>
    <sheet name="SW" sheetId="19" state="hidden" r:id="rId9"/>
    <sheet name="TS" sheetId="20" state="hidden" r:id="rId10"/>
    <sheet name="ExtraTaal1" sheetId="21" state="hidden" r:id="rId11"/>
    <sheet name="ExtraTaal2" sheetId="22" state="hidden" r:id="rId12"/>
    <sheet name="ExtraTaal3" sheetId="23" state="hidden" r:id="rId13"/>
  </sheets>
  <definedNames>
    <definedName name="Celc1">cal!$O$14</definedName>
    <definedName name="Celc2">cal!$P$14</definedName>
    <definedName name="CF_Altit">cal!$AB$11</definedName>
    <definedName name="Cubics">cal!$N$14</definedName>
    <definedName name="kgss">cal!$G$14</definedName>
    <definedName name="p_atm">cal!$Z$11</definedName>
    <definedName name="Pvs_Heat_in">611*EXP(17.27*((Tl_heat)/(Tl_heat+237.3)))</definedName>
    <definedName name="RH">cal!$K$12</definedName>
    <definedName name="Tavg_cold">(Tv_cool+Tr_cool)/2</definedName>
    <definedName name="Tl_cool">cal!$X$11</definedName>
    <definedName name="Tl_heat">cal!$S$11</definedName>
    <definedName name="Tr_cool">cal!$X$10</definedName>
    <definedName name="Tr_heat">cal!$S$10</definedName>
    <definedName name="Tv_cool">cal!$X$9</definedName>
    <definedName name="Tv_heat">cal!$S$9</definedName>
    <definedName name="Watts">cal!$H$14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7" i="8" l="1"/>
  <c r="AE16" i="8" l="1"/>
  <c r="E9" i="8" l="1"/>
  <c r="G6" i="16" l="1"/>
  <c r="H14" i="20"/>
  <c r="E14" i="20"/>
  <c r="I14" i="20" s="1"/>
  <c r="D14" i="20"/>
  <c r="M14" i="20"/>
  <c r="M14" i="19"/>
  <c r="H14" i="19"/>
  <c r="E14" i="19"/>
  <c r="I14" i="19" s="1"/>
  <c r="D14" i="19"/>
  <c r="F10" i="19"/>
  <c r="O14" i="23"/>
  <c r="N14" i="23"/>
  <c r="M14" i="23"/>
  <c r="I14" i="23"/>
  <c r="H14" i="23"/>
  <c r="E14" i="23"/>
  <c r="D14" i="23"/>
  <c r="A10" i="23"/>
  <c r="F10" i="23" s="1"/>
  <c r="A9" i="23"/>
  <c r="F9" i="23" s="1"/>
  <c r="F8" i="23"/>
  <c r="E8" i="23"/>
  <c r="E10" i="23" s="1"/>
  <c r="D8" i="23"/>
  <c r="A8" i="23"/>
  <c r="O14" i="22"/>
  <c r="N14" i="22"/>
  <c r="M14" i="22"/>
  <c r="I14" i="22"/>
  <c r="H14" i="22"/>
  <c r="E14" i="22"/>
  <c r="D14" i="22"/>
  <c r="A10" i="22"/>
  <c r="F10" i="22" s="1"/>
  <c r="A9" i="22"/>
  <c r="F9" i="22" s="1"/>
  <c r="E8" i="22"/>
  <c r="E10" i="22" s="1"/>
  <c r="D8" i="22"/>
  <c r="A8" i="22"/>
  <c r="F8" i="22" s="1"/>
  <c r="O14" i="21"/>
  <c r="N14" i="21"/>
  <c r="M14" i="21"/>
  <c r="I14" i="21"/>
  <c r="H14" i="21"/>
  <c r="E14" i="21"/>
  <c r="D14" i="21"/>
  <c r="A10" i="21"/>
  <c r="F10" i="21" s="1"/>
  <c r="A9" i="21"/>
  <c r="F9" i="21" s="1"/>
  <c r="F8" i="21"/>
  <c r="E8" i="21"/>
  <c r="E10" i="21" s="1"/>
  <c r="D8" i="21"/>
  <c r="A8" i="21"/>
  <c r="O14" i="20"/>
  <c r="N14" i="20"/>
  <c r="F10" i="20"/>
  <c r="F9" i="20"/>
  <c r="F8" i="20"/>
  <c r="E8" i="20"/>
  <c r="E10" i="20" s="1"/>
  <c r="D8" i="20"/>
  <c r="O14" i="19"/>
  <c r="N14" i="19"/>
  <c r="F9" i="19"/>
  <c r="F8" i="19"/>
  <c r="E8" i="19"/>
  <c r="E10" i="19" s="1"/>
  <c r="D8" i="19"/>
  <c r="B7" i="8" l="1"/>
  <c r="C9" i="8"/>
  <c r="G8" i="8"/>
  <c r="L15" i="8"/>
  <c r="E16" i="8"/>
  <c r="M16" i="8"/>
  <c r="F22" i="8"/>
  <c r="N22" i="8"/>
  <c r="G28" i="8"/>
  <c r="O28" i="8"/>
  <c r="H34" i="8"/>
  <c r="P34" i="8"/>
  <c r="I40" i="8"/>
  <c r="J46" i="8"/>
  <c r="N46" i="8"/>
  <c r="G52" i="8"/>
  <c r="K52" i="8"/>
  <c r="D58" i="8"/>
  <c r="L58" i="8"/>
  <c r="E64" i="8"/>
  <c r="I64" i="8"/>
  <c r="B70" i="8"/>
  <c r="D9" i="8"/>
  <c r="B11" i="8"/>
  <c r="G12" i="8"/>
  <c r="N7" i="8"/>
  <c r="M15" i="8"/>
  <c r="F16" i="8"/>
  <c r="J16" i="8"/>
  <c r="N16" i="8"/>
  <c r="C22" i="8"/>
  <c r="G22" i="8"/>
  <c r="K22" i="8"/>
  <c r="O22" i="8"/>
  <c r="D28" i="8"/>
  <c r="H28" i="8"/>
  <c r="L28" i="8"/>
  <c r="P28" i="8"/>
  <c r="E34" i="8"/>
  <c r="I34" i="8"/>
  <c r="M34" i="8"/>
  <c r="F40" i="8"/>
  <c r="J40" i="8"/>
  <c r="N40" i="8"/>
  <c r="C46" i="8"/>
  <c r="G46" i="8"/>
  <c r="K46" i="8"/>
  <c r="O46" i="8"/>
  <c r="D52" i="8"/>
  <c r="H52" i="8"/>
  <c r="L52" i="8"/>
  <c r="P52" i="8"/>
  <c r="E58" i="8"/>
  <c r="I58" i="8"/>
  <c r="M58" i="8"/>
  <c r="F64" i="8"/>
  <c r="J64" i="8"/>
  <c r="N64" i="8"/>
  <c r="B71" i="8"/>
  <c r="D10" i="8"/>
  <c r="M7" i="8"/>
  <c r="I16" i="8"/>
  <c r="J22" i="8"/>
  <c r="C28" i="8"/>
  <c r="K28" i="8"/>
  <c r="D34" i="8"/>
  <c r="L34" i="8"/>
  <c r="E40" i="8"/>
  <c r="M40" i="8"/>
  <c r="F46" i="8"/>
  <c r="C52" i="8"/>
  <c r="O52" i="8"/>
  <c r="H58" i="8"/>
  <c r="P58" i="8"/>
  <c r="M64" i="8"/>
  <c r="B8" i="8"/>
  <c r="B9" i="16" s="1"/>
  <c r="B10" i="8"/>
  <c r="C11" i="8"/>
  <c r="M9" i="8"/>
  <c r="B15" i="8"/>
  <c r="C16" i="8"/>
  <c r="G16" i="8"/>
  <c r="K16" i="8"/>
  <c r="O16" i="8"/>
  <c r="D22" i="8"/>
  <c r="H22" i="8"/>
  <c r="L22" i="8"/>
  <c r="P22" i="8"/>
  <c r="E28" i="8"/>
  <c r="I28" i="8"/>
  <c r="M28" i="8"/>
  <c r="F34" i="8"/>
  <c r="J34" i="8"/>
  <c r="N34" i="8"/>
  <c r="C40" i="8"/>
  <c r="G40" i="8"/>
  <c r="K40" i="8"/>
  <c r="O40" i="8"/>
  <c r="D46" i="8"/>
  <c r="H46" i="8"/>
  <c r="L46" i="8"/>
  <c r="P46" i="8"/>
  <c r="E52" i="8"/>
  <c r="I52" i="8"/>
  <c r="M52" i="8"/>
  <c r="F58" i="8"/>
  <c r="J58" i="8"/>
  <c r="N58" i="8"/>
  <c r="C64" i="8"/>
  <c r="G64" i="8"/>
  <c r="K64" i="8"/>
  <c r="O64" i="8"/>
  <c r="B72" i="8"/>
  <c r="B9" i="8"/>
  <c r="C10" i="8"/>
  <c r="D11" i="8"/>
  <c r="N9" i="8"/>
  <c r="C15" i="8"/>
  <c r="K15" i="8"/>
  <c r="D16" i="8"/>
  <c r="H16" i="8"/>
  <c r="L16" i="8"/>
  <c r="P16" i="8"/>
  <c r="E22" i="8"/>
  <c r="I22" i="8"/>
  <c r="M22" i="8"/>
  <c r="F28" i="8"/>
  <c r="J28" i="8"/>
  <c r="N28" i="8"/>
  <c r="C34" i="8"/>
  <c r="G34" i="8"/>
  <c r="K34" i="8"/>
  <c r="O34" i="8"/>
  <c r="D40" i="8"/>
  <c r="H40" i="8"/>
  <c r="L40" i="8"/>
  <c r="P40" i="8"/>
  <c r="E46" i="8"/>
  <c r="I46" i="8"/>
  <c r="M46" i="8"/>
  <c r="F52" i="8"/>
  <c r="J52" i="8"/>
  <c r="N52" i="8"/>
  <c r="C58" i="8"/>
  <c r="G58" i="8"/>
  <c r="K58" i="8"/>
  <c r="O58" i="8"/>
  <c r="D64" i="8"/>
  <c r="H64" i="8"/>
  <c r="L64" i="8"/>
  <c r="P64" i="8"/>
  <c r="K8" i="22"/>
  <c r="K9" i="21"/>
  <c r="K10" i="22"/>
  <c r="K10" i="20"/>
  <c r="E9" i="21"/>
  <c r="K10" i="21"/>
  <c r="K10" i="23"/>
  <c r="K9" i="23"/>
  <c r="K10" i="19"/>
  <c r="K8" i="19"/>
  <c r="K9" i="19"/>
  <c r="K8" i="20"/>
  <c r="K8" i="21"/>
  <c r="K9" i="22"/>
  <c r="K9" i="20"/>
  <c r="K8" i="23"/>
  <c r="E9" i="23"/>
  <c r="E9" i="22"/>
  <c r="E9" i="20"/>
  <c r="E9" i="19"/>
  <c r="E10" i="8" l="1"/>
  <c r="E11" i="8"/>
  <c r="D10" i="23" l="1"/>
  <c r="D10" i="22"/>
  <c r="D10" i="21"/>
  <c r="D10" i="19"/>
  <c r="D10" i="20"/>
  <c r="D9" i="23"/>
  <c r="D9" i="20"/>
  <c r="D9" i="19"/>
  <c r="D9" i="21"/>
  <c r="C14" i="21" s="1"/>
  <c r="D9" i="22"/>
  <c r="C14" i="22" s="1"/>
  <c r="O14" i="18"/>
  <c r="N14" i="18"/>
  <c r="M14" i="18"/>
  <c r="H14" i="18"/>
  <c r="E14" i="18"/>
  <c r="I14" i="18" s="1"/>
  <c r="D14" i="18"/>
  <c r="F10" i="18"/>
  <c r="F9" i="18"/>
  <c r="F8" i="18"/>
  <c r="E8" i="18"/>
  <c r="K10" i="18" s="1"/>
  <c r="O14" i="17"/>
  <c r="N14" i="17"/>
  <c r="M14" i="17"/>
  <c r="H14" i="17"/>
  <c r="E14" i="17"/>
  <c r="I14" i="17" s="1"/>
  <c r="D14" i="17"/>
  <c r="F10" i="17"/>
  <c r="F9" i="17"/>
  <c r="F8" i="17"/>
  <c r="E8" i="17"/>
  <c r="K10" i="17" s="1"/>
  <c r="O14" i="15"/>
  <c r="N14" i="15"/>
  <c r="M14" i="15"/>
  <c r="I14" i="15"/>
  <c r="H14" i="15"/>
  <c r="E14" i="15"/>
  <c r="D14" i="15"/>
  <c r="A10" i="15"/>
  <c r="F10" i="15" s="1"/>
  <c r="F9" i="15"/>
  <c r="A9" i="15"/>
  <c r="E8" i="15"/>
  <c r="E10" i="15" s="1"/>
  <c r="A8" i="15"/>
  <c r="F8" i="15" s="1"/>
  <c r="O14" i="14"/>
  <c r="N14" i="14"/>
  <c r="M14" i="14"/>
  <c r="I14" i="14"/>
  <c r="H14" i="14"/>
  <c r="E14" i="14"/>
  <c r="D14" i="14"/>
  <c r="A10" i="14"/>
  <c r="F10" i="14" s="1"/>
  <c r="A9" i="14"/>
  <c r="F9" i="14" s="1"/>
  <c r="E8" i="14"/>
  <c r="E9" i="14" s="1"/>
  <c r="A8" i="14"/>
  <c r="F8" i="14" s="1"/>
  <c r="O14" i="13"/>
  <c r="P15" i="8" s="1"/>
  <c r="N14" i="13"/>
  <c r="O15" i="8" s="1"/>
  <c r="M14" i="13"/>
  <c r="N15" i="8" s="1"/>
  <c r="I14" i="13"/>
  <c r="J15" i="8" s="1"/>
  <c r="H14" i="13"/>
  <c r="I15" i="8" s="1"/>
  <c r="E14" i="13"/>
  <c r="F15" i="8" s="1"/>
  <c r="D14" i="13"/>
  <c r="E15" i="8" s="1"/>
  <c r="A10" i="13"/>
  <c r="F10" i="13" s="1"/>
  <c r="A9" i="13"/>
  <c r="F9" i="13" s="1"/>
  <c r="E8" i="13"/>
  <c r="K9" i="13" s="1"/>
  <c r="A8" i="13"/>
  <c r="F8" i="13" s="1"/>
  <c r="O14" i="9"/>
  <c r="N14" i="9"/>
  <c r="M14" i="9"/>
  <c r="I14" i="9"/>
  <c r="H14" i="9"/>
  <c r="E14" i="9"/>
  <c r="D14" i="9"/>
  <c r="A10" i="9"/>
  <c r="F10" i="9" s="1"/>
  <c r="A9" i="9"/>
  <c r="F9" i="9" s="1"/>
  <c r="E8" i="9"/>
  <c r="E10" i="9" s="1"/>
  <c r="A8" i="9"/>
  <c r="F8" i="9" s="1"/>
  <c r="N70" i="8"/>
  <c r="M69" i="17" s="1"/>
  <c r="AH38" i="8"/>
  <c r="AH36" i="8"/>
  <c r="AH32" i="8"/>
  <c r="AH30" i="8"/>
  <c r="AH26" i="8"/>
  <c r="AH24" i="8"/>
  <c r="AH28" i="8"/>
  <c r="AH34" i="8" s="1"/>
  <c r="AH40" i="8" s="1"/>
  <c r="AF28" i="8"/>
  <c r="AF34" i="8" s="1"/>
  <c r="AF40" i="8" s="1"/>
  <c r="AH20" i="8"/>
  <c r="AH18" i="8"/>
  <c r="X16" i="8"/>
  <c r="Z17" i="8" s="1"/>
  <c r="P14" i="8"/>
  <c r="O14" i="8"/>
  <c r="N14" i="8"/>
  <c r="J14" i="8"/>
  <c r="J15" i="16" s="1"/>
  <c r="I14" i="8"/>
  <c r="I15" i="16" s="1"/>
  <c r="H14" i="8"/>
  <c r="H15" i="16" s="1"/>
  <c r="G14" i="8"/>
  <c r="F14" i="8"/>
  <c r="F15" i="16" s="1"/>
  <c r="E14" i="8"/>
  <c r="E15" i="16" s="1"/>
  <c r="K12" i="8"/>
  <c r="K11" i="8"/>
  <c r="S11" i="8"/>
  <c r="K10" i="8"/>
  <c r="D9" i="18"/>
  <c r="K9" i="8"/>
  <c r="D8" i="17"/>
  <c r="O8" i="8"/>
  <c r="O9" i="16" s="1"/>
  <c r="M8" i="8"/>
  <c r="Z11" i="8" s="1"/>
  <c r="C70" i="16"/>
  <c r="B70" i="16"/>
  <c r="C69" i="16"/>
  <c r="B69" i="16"/>
  <c r="C68" i="16"/>
  <c r="B68" i="16"/>
  <c r="C67" i="16"/>
  <c r="B67" i="16"/>
  <c r="C66" i="16"/>
  <c r="B66" i="16"/>
  <c r="C64" i="16"/>
  <c r="B64" i="16"/>
  <c r="C63" i="16"/>
  <c r="B63" i="16"/>
  <c r="C62" i="16"/>
  <c r="B62" i="16"/>
  <c r="C61" i="16"/>
  <c r="B61" i="16"/>
  <c r="C60" i="16"/>
  <c r="B60" i="16"/>
  <c r="C58" i="16"/>
  <c r="B58" i="16"/>
  <c r="C57" i="16"/>
  <c r="B57" i="16"/>
  <c r="C56" i="16"/>
  <c r="B56" i="16"/>
  <c r="C55" i="16"/>
  <c r="B55" i="16"/>
  <c r="C54" i="16"/>
  <c r="B54" i="16"/>
  <c r="C52" i="16"/>
  <c r="B52" i="16"/>
  <c r="C51" i="16"/>
  <c r="B51" i="16"/>
  <c r="C50" i="16"/>
  <c r="B50" i="16"/>
  <c r="C49" i="16"/>
  <c r="B49" i="16"/>
  <c r="C48" i="16"/>
  <c r="B48" i="16"/>
  <c r="C46" i="16"/>
  <c r="B46" i="16"/>
  <c r="C45" i="16"/>
  <c r="B45" i="16"/>
  <c r="C44" i="16"/>
  <c r="B44" i="16"/>
  <c r="C43" i="16"/>
  <c r="B43" i="16"/>
  <c r="C42" i="16"/>
  <c r="B42" i="16"/>
  <c r="C40" i="16"/>
  <c r="B40" i="16"/>
  <c r="C39" i="16"/>
  <c r="B39" i="16"/>
  <c r="C38" i="16"/>
  <c r="B38" i="16"/>
  <c r="C37" i="16"/>
  <c r="B37" i="16"/>
  <c r="C36" i="16"/>
  <c r="B36" i="16"/>
  <c r="C34" i="16"/>
  <c r="B34" i="16"/>
  <c r="C33" i="16"/>
  <c r="B33" i="16"/>
  <c r="C32" i="16"/>
  <c r="B32" i="16"/>
  <c r="C31" i="16"/>
  <c r="B31" i="16"/>
  <c r="C30" i="16"/>
  <c r="B30" i="16"/>
  <c r="C28" i="16"/>
  <c r="B28" i="16"/>
  <c r="C27" i="16"/>
  <c r="B27" i="16"/>
  <c r="C26" i="16"/>
  <c r="B26" i="16"/>
  <c r="C25" i="16"/>
  <c r="B25" i="16"/>
  <c r="C24" i="16"/>
  <c r="B24" i="16"/>
  <c r="C22" i="16"/>
  <c r="B22" i="16"/>
  <c r="C21" i="16"/>
  <c r="B21" i="16"/>
  <c r="C20" i="16"/>
  <c r="B20" i="16"/>
  <c r="C19" i="16"/>
  <c r="B19" i="16"/>
  <c r="C18" i="16"/>
  <c r="B18" i="16"/>
  <c r="M15" i="16"/>
  <c r="L15" i="16"/>
  <c r="K15" i="16"/>
  <c r="D15" i="16"/>
  <c r="J12" i="16"/>
  <c r="I12" i="16"/>
  <c r="R42" i="8" l="1"/>
  <c r="R44" i="8"/>
  <c r="R43" i="8"/>
  <c r="R45" i="8"/>
  <c r="R41" i="8"/>
  <c r="C14" i="23"/>
  <c r="AD68" i="8"/>
  <c r="AC28" i="8"/>
  <c r="AC40" i="8"/>
  <c r="AC34" i="8"/>
  <c r="J11" i="15"/>
  <c r="J11" i="23"/>
  <c r="J11" i="21"/>
  <c r="J11" i="22"/>
  <c r="J11" i="20"/>
  <c r="J11" i="19"/>
  <c r="M69" i="15"/>
  <c r="M69" i="14"/>
  <c r="C14" i="20"/>
  <c r="J8" i="18"/>
  <c r="J8" i="19"/>
  <c r="J8" i="21"/>
  <c r="J8" i="23"/>
  <c r="J8" i="20"/>
  <c r="J8" i="22"/>
  <c r="J9" i="14"/>
  <c r="J9" i="19"/>
  <c r="J9" i="23"/>
  <c r="J9" i="22"/>
  <c r="J9" i="20"/>
  <c r="J9" i="21"/>
  <c r="J10" i="18"/>
  <c r="J10" i="19"/>
  <c r="J10" i="23"/>
  <c r="J10" i="22"/>
  <c r="J10" i="20"/>
  <c r="J10" i="21"/>
  <c r="C14" i="19"/>
  <c r="B72" i="16"/>
  <c r="U2" i="8"/>
  <c r="U3" i="8"/>
  <c r="U1" i="8"/>
  <c r="M69" i="23"/>
  <c r="M69" i="22"/>
  <c r="M69" i="19"/>
  <c r="M69" i="20"/>
  <c r="M69" i="21"/>
  <c r="M69" i="13"/>
  <c r="M69" i="9"/>
  <c r="M69" i="18"/>
  <c r="J9" i="8"/>
  <c r="J10" i="16" s="1"/>
  <c r="C11" i="16"/>
  <c r="H10" i="8"/>
  <c r="H11" i="16" s="1"/>
  <c r="C16" i="16"/>
  <c r="K16" i="16"/>
  <c r="O16" i="16"/>
  <c r="AC4" i="8"/>
  <c r="I9" i="8"/>
  <c r="I10" i="16" s="1"/>
  <c r="J16" i="16"/>
  <c r="N16" i="16"/>
  <c r="B5" i="8"/>
  <c r="B3" i="8"/>
  <c r="AC5" i="8"/>
  <c r="D11" i="16"/>
  <c r="I10" i="8"/>
  <c r="I11" i="16" s="1"/>
  <c r="C12" i="16"/>
  <c r="H11" i="8"/>
  <c r="H12" i="16" s="1"/>
  <c r="F16" i="16"/>
  <c r="L16" i="16"/>
  <c r="M8" i="16"/>
  <c r="D10" i="16"/>
  <c r="B16" i="16"/>
  <c r="P16" i="16"/>
  <c r="B73" i="16"/>
  <c r="E16" i="16"/>
  <c r="AC3" i="8"/>
  <c r="B8" i="16"/>
  <c r="G9" i="16"/>
  <c r="C10" i="16"/>
  <c r="H9" i="8"/>
  <c r="H10" i="16" s="1"/>
  <c r="M10" i="16"/>
  <c r="J10" i="8"/>
  <c r="J11" i="16" s="1"/>
  <c r="D12" i="16"/>
  <c r="I16" i="16"/>
  <c r="M16" i="16"/>
  <c r="B71" i="16"/>
  <c r="Y33" i="8"/>
  <c r="Y35" i="8"/>
  <c r="AB45" i="8"/>
  <c r="L45" i="8" s="1"/>
  <c r="AD53" i="8"/>
  <c r="N53" i="8" s="1"/>
  <c r="N54" i="16" s="1"/>
  <c r="R67" i="8"/>
  <c r="AC20" i="8"/>
  <c r="M20" i="8" s="1"/>
  <c r="M21" i="16" s="1"/>
  <c r="AA33" i="8"/>
  <c r="Z35" i="8"/>
  <c r="AB36" i="8"/>
  <c r="L36" i="8" s="1"/>
  <c r="AB38" i="8"/>
  <c r="L38" i="8" s="1"/>
  <c r="X40" i="8"/>
  <c r="AA42" i="8"/>
  <c r="AA51" i="8"/>
  <c r="Y54" i="8"/>
  <c r="X57" i="8"/>
  <c r="Y62" i="8"/>
  <c r="AA67" i="8"/>
  <c r="AA17" i="8"/>
  <c r="Y18" i="8"/>
  <c r="AC19" i="8"/>
  <c r="M19" i="8" s="1"/>
  <c r="M20" i="16" s="1"/>
  <c r="AA21" i="8"/>
  <c r="AD29" i="8"/>
  <c r="N29" i="8" s="1"/>
  <c r="N30" i="16" s="1"/>
  <c r="AC30" i="8"/>
  <c r="M30" i="8" s="1"/>
  <c r="M31" i="16" s="1"/>
  <c r="X38" i="8"/>
  <c r="AD41" i="8"/>
  <c r="N41" i="8" s="1"/>
  <c r="N42" i="16" s="1"/>
  <c r="X46" i="8"/>
  <c r="Z60" i="8"/>
  <c r="Z18" i="8"/>
  <c r="X19" i="8"/>
  <c r="X24" i="8"/>
  <c r="Y26" i="8"/>
  <c r="AA27" i="8"/>
  <c r="R61" i="8"/>
  <c r="AC17" i="8"/>
  <c r="M17" i="8" s="1"/>
  <c r="M18" i="16" s="1"/>
  <c r="AC18" i="8"/>
  <c r="M18" i="8" s="1"/>
  <c r="M19" i="16" s="1"/>
  <c r="Y19" i="8"/>
  <c r="AD21" i="8"/>
  <c r="N21" i="8" s="1"/>
  <c r="N22" i="16" s="1"/>
  <c r="R22" i="8"/>
  <c r="Y23" i="8"/>
  <c r="Y24" i="8"/>
  <c r="AA25" i="8"/>
  <c r="AA26" i="8"/>
  <c r="AC27" i="8"/>
  <c r="M27" i="8" s="1"/>
  <c r="M28" i="16" s="1"/>
  <c r="AB28" i="8"/>
  <c r="Y29" i="8"/>
  <c r="X30" i="8"/>
  <c r="Z31" i="8"/>
  <c r="Y32" i="8"/>
  <c r="AD33" i="8"/>
  <c r="N33" i="8" s="1"/>
  <c r="N34" i="16" s="1"/>
  <c r="R34" i="8"/>
  <c r="AB35" i="8"/>
  <c r="L35" i="8" s="1"/>
  <c r="X43" i="8"/>
  <c r="Z44" i="8"/>
  <c r="Z70" i="8"/>
  <c r="AC69" i="8"/>
  <c r="M69" i="8" s="1"/>
  <c r="M70" i="16" s="1"/>
  <c r="Y69" i="8"/>
  <c r="AB68" i="8"/>
  <c r="L68" i="8" s="1"/>
  <c r="X68" i="8"/>
  <c r="AD67" i="8"/>
  <c r="N67" i="8" s="1"/>
  <c r="N68" i="16" s="1"/>
  <c r="Z67" i="8"/>
  <c r="AC66" i="8"/>
  <c r="M66" i="8" s="1"/>
  <c r="M67" i="16" s="1"/>
  <c r="Y66" i="8"/>
  <c r="AA65" i="8"/>
  <c r="R65" i="8"/>
  <c r="Z64" i="8"/>
  <c r="AB63" i="8"/>
  <c r="L63" i="8" s="1"/>
  <c r="X63" i="8"/>
  <c r="AA62" i="8"/>
  <c r="R62" i="8"/>
  <c r="AC61" i="8"/>
  <c r="M61" i="8" s="1"/>
  <c r="M62" i="16" s="1"/>
  <c r="Y61" i="8"/>
  <c r="AB60" i="8"/>
  <c r="L60" i="8" s="1"/>
  <c r="X60" i="8"/>
  <c r="AD59" i="8"/>
  <c r="N59" i="8" s="1"/>
  <c r="N60" i="16" s="1"/>
  <c r="Z59" i="8"/>
  <c r="X58" i="8"/>
  <c r="AA57" i="8"/>
  <c r="R57" i="8"/>
  <c r="AD56" i="8"/>
  <c r="N56" i="8" s="1"/>
  <c r="N57" i="16" s="1"/>
  <c r="Z56" i="8"/>
  <c r="AB55" i="8"/>
  <c r="L55" i="8" s="1"/>
  <c r="X55" i="8"/>
  <c r="AA54" i="8"/>
  <c r="R54" i="8"/>
  <c r="AC53" i="8"/>
  <c r="M53" i="8" s="1"/>
  <c r="M54" i="16" s="1"/>
  <c r="Y53" i="8"/>
  <c r="AD52" i="8"/>
  <c r="R52" i="8"/>
  <c r="AD51" i="8"/>
  <c r="N51" i="8" s="1"/>
  <c r="N52" i="16" s="1"/>
  <c r="Z51" i="8"/>
  <c r="AC50" i="8"/>
  <c r="M50" i="8" s="1"/>
  <c r="M51" i="16" s="1"/>
  <c r="Y50" i="8"/>
  <c r="AA49" i="8"/>
  <c r="R49" i="8"/>
  <c r="AA48" i="8"/>
  <c r="R48" i="8"/>
  <c r="AC47" i="8"/>
  <c r="M47" i="8" s="1"/>
  <c r="M48" i="16" s="1"/>
  <c r="Y47" i="8"/>
  <c r="AD46" i="8"/>
  <c r="R46" i="8"/>
  <c r="AD45" i="8"/>
  <c r="N45" i="8" s="1"/>
  <c r="N46" i="16" s="1"/>
  <c r="Z45" i="8"/>
  <c r="AC44" i="8"/>
  <c r="M44" i="8" s="1"/>
  <c r="M45" i="16" s="1"/>
  <c r="Y44" i="8"/>
  <c r="AA43" i="8"/>
  <c r="AD42" i="8"/>
  <c r="N42" i="8" s="1"/>
  <c r="N43" i="16" s="1"/>
  <c r="Z42" i="8"/>
  <c r="AB41" i="8"/>
  <c r="L41" i="8" s="1"/>
  <c r="X41" i="8"/>
  <c r="AB40" i="8"/>
  <c r="AC39" i="8"/>
  <c r="M39" i="8" s="1"/>
  <c r="M40" i="16" s="1"/>
  <c r="Y39" i="8"/>
  <c r="AA38" i="8"/>
  <c r="AC37" i="8"/>
  <c r="M37" i="8" s="1"/>
  <c r="M38" i="16" s="1"/>
  <c r="Y37" i="8"/>
  <c r="X70" i="8"/>
  <c r="AB69" i="8"/>
  <c r="L69" i="8" s="1"/>
  <c r="X69" i="8"/>
  <c r="AA68" i="8"/>
  <c r="R68" i="8"/>
  <c r="AC67" i="8"/>
  <c r="M67" i="8" s="1"/>
  <c r="M68" i="16" s="1"/>
  <c r="Y67" i="8"/>
  <c r="AB66" i="8"/>
  <c r="L66" i="8" s="1"/>
  <c r="X66" i="8"/>
  <c r="AD65" i="8"/>
  <c r="N65" i="8" s="1"/>
  <c r="N66" i="16" s="1"/>
  <c r="Z65" i="8"/>
  <c r="X64" i="8"/>
  <c r="AA63" i="8"/>
  <c r="R63" i="8"/>
  <c r="AD62" i="8"/>
  <c r="N62" i="8" s="1"/>
  <c r="N63" i="16" s="1"/>
  <c r="Z62" i="8"/>
  <c r="AB61" i="8"/>
  <c r="L61" i="8" s="1"/>
  <c r="X61" i="8"/>
  <c r="AA60" i="8"/>
  <c r="R60" i="8"/>
  <c r="AC59" i="8"/>
  <c r="M59" i="8" s="1"/>
  <c r="M60" i="16" s="1"/>
  <c r="Y59" i="8"/>
  <c r="AD58" i="8"/>
  <c r="R58" i="8"/>
  <c r="AD57" i="8"/>
  <c r="N57" i="8" s="1"/>
  <c r="N58" i="16" s="1"/>
  <c r="Z57" i="8"/>
  <c r="AC56" i="8"/>
  <c r="M56" i="8" s="1"/>
  <c r="M57" i="16" s="1"/>
  <c r="Y56" i="8"/>
  <c r="AA55" i="8"/>
  <c r="R55" i="8"/>
  <c r="AD54" i="8"/>
  <c r="N54" i="8" s="1"/>
  <c r="N55" i="16" s="1"/>
  <c r="Z54" i="8"/>
  <c r="AB53" i="8"/>
  <c r="L53" i="8" s="1"/>
  <c r="X53" i="8"/>
  <c r="AB52" i="8"/>
  <c r="AC51" i="8"/>
  <c r="M51" i="8" s="1"/>
  <c r="M52" i="16" s="1"/>
  <c r="Y51" i="8"/>
  <c r="AB50" i="8"/>
  <c r="L50" i="8" s="1"/>
  <c r="X50" i="8"/>
  <c r="AD49" i="8"/>
  <c r="N49" i="8" s="1"/>
  <c r="N50" i="16" s="1"/>
  <c r="Z49" i="8"/>
  <c r="AD48" i="8"/>
  <c r="N48" i="8" s="1"/>
  <c r="N49" i="16" s="1"/>
  <c r="Z48" i="8"/>
  <c r="AB47" i="8"/>
  <c r="L47" i="8" s="1"/>
  <c r="X47" i="8"/>
  <c r="AB46" i="8"/>
  <c r="AC45" i="8"/>
  <c r="M45" i="8" s="1"/>
  <c r="M46" i="16" s="1"/>
  <c r="Y45" i="8"/>
  <c r="AB44" i="8"/>
  <c r="L44" i="8" s="1"/>
  <c r="X44" i="8"/>
  <c r="AD43" i="8"/>
  <c r="N43" i="8" s="1"/>
  <c r="N44" i="16" s="1"/>
  <c r="Z43" i="8"/>
  <c r="AC42" i="8"/>
  <c r="M42" i="8" s="1"/>
  <c r="M43" i="16" s="1"/>
  <c r="Y42" i="8"/>
  <c r="AA41" i="8"/>
  <c r="Z40" i="8"/>
  <c r="AB39" i="8"/>
  <c r="L39" i="8" s="1"/>
  <c r="X39" i="8"/>
  <c r="AB70" i="8"/>
  <c r="Z69" i="8"/>
  <c r="AC68" i="8"/>
  <c r="M68" i="8" s="1"/>
  <c r="M69" i="16" s="1"/>
  <c r="AB67" i="8"/>
  <c r="L67" i="8" s="1"/>
  <c r="R66" i="8"/>
  <c r="X65" i="8"/>
  <c r="AC63" i="8"/>
  <c r="M63" i="8" s="1"/>
  <c r="M64" i="16" s="1"/>
  <c r="X62" i="8"/>
  <c r="Z61" i="8"/>
  <c r="AC60" i="8"/>
  <c r="M60" i="8" s="1"/>
  <c r="M61" i="16" s="1"/>
  <c r="AB59" i="8"/>
  <c r="L59" i="8" s="1"/>
  <c r="Z58" i="8"/>
  <c r="AC57" i="8"/>
  <c r="M57" i="8" s="1"/>
  <c r="M58" i="16" s="1"/>
  <c r="X56" i="8"/>
  <c r="Z55" i="8"/>
  <c r="AC54" i="8"/>
  <c r="M54" i="8" s="1"/>
  <c r="M55" i="16" s="1"/>
  <c r="R53" i="8"/>
  <c r="Z52" i="8"/>
  <c r="R51" i="8"/>
  <c r="Z50" i="8"/>
  <c r="Y49" i="8"/>
  <c r="X48" i="8"/>
  <c r="Z47" i="8"/>
  <c r="X45" i="8"/>
  <c r="AA44" i="8"/>
  <c r="AB43" i="8"/>
  <c r="L43" i="8" s="1"/>
  <c r="Y41" i="8"/>
  <c r="AD40" i="8"/>
  <c r="AA39" i="8"/>
  <c r="AD38" i="8"/>
  <c r="N38" i="8" s="1"/>
  <c r="N39" i="16" s="1"/>
  <c r="Y38" i="8"/>
  <c r="AD37" i="8"/>
  <c r="N37" i="8" s="1"/>
  <c r="N38" i="16" s="1"/>
  <c r="X37" i="8"/>
  <c r="AC36" i="8"/>
  <c r="M36" i="8" s="1"/>
  <c r="M37" i="16" s="1"/>
  <c r="Y36" i="8"/>
  <c r="AA35" i="8"/>
  <c r="Z34" i="8"/>
  <c r="AB33" i="8"/>
  <c r="L33" i="8" s="1"/>
  <c r="X33" i="8"/>
  <c r="AD32" i="8"/>
  <c r="N32" i="8" s="1"/>
  <c r="N33" i="16" s="1"/>
  <c r="Z32" i="8"/>
  <c r="AB31" i="8"/>
  <c r="L31" i="8" s="1"/>
  <c r="X31" i="8"/>
  <c r="AD30" i="8"/>
  <c r="N30" i="8" s="1"/>
  <c r="N31" i="16" s="1"/>
  <c r="Z30" i="8"/>
  <c r="AB29" i="8"/>
  <c r="L29" i="8" s="1"/>
  <c r="X29" i="8"/>
  <c r="Z28" i="8"/>
  <c r="AB27" i="8"/>
  <c r="L27" i="8" s="1"/>
  <c r="X27" i="8"/>
  <c r="AD26" i="8"/>
  <c r="N26" i="8" s="1"/>
  <c r="N27" i="16" s="1"/>
  <c r="Z26" i="8"/>
  <c r="AB25" i="8"/>
  <c r="L25" i="8" s="1"/>
  <c r="X25" i="8"/>
  <c r="AD24" i="8"/>
  <c r="N24" i="8" s="1"/>
  <c r="N25" i="16" s="1"/>
  <c r="Z24" i="8"/>
  <c r="AB23" i="8"/>
  <c r="L23" i="8" s="1"/>
  <c r="X23" i="8"/>
  <c r="AB21" i="8"/>
  <c r="L21" i="8" s="1"/>
  <c r="AD70" i="8"/>
  <c r="R69" i="8"/>
  <c r="Y68" i="8"/>
  <c r="AD66" i="8"/>
  <c r="N66" i="8" s="1"/>
  <c r="N67" i="16" s="1"/>
  <c r="AB65" i="8"/>
  <c r="L65" i="8" s="1"/>
  <c r="R64" i="8"/>
  <c r="AD63" i="8"/>
  <c r="N63" i="8" s="1"/>
  <c r="N64" i="16" s="1"/>
  <c r="AC62" i="8"/>
  <c r="M62" i="8" s="1"/>
  <c r="M63" i="16" s="1"/>
  <c r="AD61" i="8"/>
  <c r="N61" i="8" s="1"/>
  <c r="N62" i="16" s="1"/>
  <c r="AD60" i="8"/>
  <c r="N60" i="8" s="1"/>
  <c r="N61" i="16" s="1"/>
  <c r="X59" i="8"/>
  <c r="AB58" i="8"/>
  <c r="AB57" i="8"/>
  <c r="L57" i="8" s="1"/>
  <c r="AB56" i="8"/>
  <c r="L56" i="8" s="1"/>
  <c r="AC55" i="8"/>
  <c r="M55" i="8" s="1"/>
  <c r="M56" i="16" s="1"/>
  <c r="AB54" i="8"/>
  <c r="L54" i="8" s="1"/>
  <c r="AA53" i="8"/>
  <c r="AC49" i="8"/>
  <c r="M49" i="8" s="1"/>
  <c r="M50" i="16" s="1"/>
  <c r="Y48" i="8"/>
  <c r="R47" i="8"/>
  <c r="Z46" i="8"/>
  <c r="AC43" i="8"/>
  <c r="M43" i="8" s="1"/>
  <c r="M44" i="16" s="1"/>
  <c r="AB42" i="8"/>
  <c r="L42" i="8" s="1"/>
  <c r="AC41" i="8"/>
  <c r="M41" i="8" s="1"/>
  <c r="M42" i="16" s="1"/>
  <c r="Z39" i="8"/>
  <c r="Z38" i="8"/>
  <c r="AA37" i="8"/>
  <c r="AD36" i="8"/>
  <c r="N36" i="8" s="1"/>
  <c r="N37" i="16" s="1"/>
  <c r="X36" i="8"/>
  <c r="AC35" i="8"/>
  <c r="M35" i="8" s="1"/>
  <c r="M36" i="16" s="1"/>
  <c r="X35" i="8"/>
  <c r="X34" i="8"/>
  <c r="Z33" i="8"/>
  <c r="AC32" i="8"/>
  <c r="M32" i="8" s="1"/>
  <c r="M33" i="16" s="1"/>
  <c r="X32" i="8"/>
  <c r="AC31" i="8"/>
  <c r="M31" i="8" s="1"/>
  <c r="M32" i="16" s="1"/>
  <c r="AA30" i="8"/>
  <c r="Z29" i="8"/>
  <c r="X28" i="8"/>
  <c r="Z27" i="8"/>
  <c r="AC26" i="8"/>
  <c r="M26" i="8" s="1"/>
  <c r="M27" i="16" s="1"/>
  <c r="X26" i="8"/>
  <c r="AC25" i="8"/>
  <c r="M25" i="8" s="1"/>
  <c r="M26" i="16" s="1"/>
  <c r="AA24" i="8"/>
  <c r="Z23" i="8"/>
  <c r="X22" i="8"/>
  <c r="Z21" i="8"/>
  <c r="AB20" i="8"/>
  <c r="L20" i="8" s="1"/>
  <c r="X20" i="8"/>
  <c r="AD19" i="8"/>
  <c r="N19" i="8" s="1"/>
  <c r="N20" i="16" s="1"/>
  <c r="Z19" i="8"/>
  <c r="AB18" i="8"/>
  <c r="L18" i="8" s="1"/>
  <c r="X18" i="8"/>
  <c r="AD17" i="8"/>
  <c r="N17" i="8" s="1"/>
  <c r="N18" i="16" s="1"/>
  <c r="AD69" i="8"/>
  <c r="N69" i="8" s="1"/>
  <c r="N70" i="16" s="1"/>
  <c r="Z68" i="8"/>
  <c r="AA66" i="8"/>
  <c r="AD64" i="8"/>
  <c r="AB62" i="8"/>
  <c r="L62" i="8" s="1"/>
  <c r="R59" i="8"/>
  <c r="Y55" i="8"/>
  <c r="X54" i="8"/>
  <c r="X51" i="8"/>
  <c r="X49" i="8"/>
  <c r="AB48" i="8"/>
  <c r="L48" i="8" s="1"/>
  <c r="AA45" i="8"/>
  <c r="Y43" i="8"/>
  <c r="X42" i="8"/>
  <c r="R40" i="8"/>
  <c r="AD39" i="8"/>
  <c r="N39" i="8" s="1"/>
  <c r="N40" i="16" s="1"/>
  <c r="X67" i="8"/>
  <c r="AC65" i="8"/>
  <c r="M65" i="8" s="1"/>
  <c r="M66" i="16" s="1"/>
  <c r="Y63" i="8"/>
  <c r="AA61" i="8"/>
  <c r="Y60" i="8"/>
  <c r="Y57" i="8"/>
  <c r="R56" i="8"/>
  <c r="Z53" i="8"/>
  <c r="X52" i="8"/>
  <c r="AB51" i="8"/>
  <c r="L51" i="8" s="1"/>
  <c r="AA50" i="8"/>
  <c r="AD47" i="8"/>
  <c r="N47" i="8" s="1"/>
  <c r="N48" i="16" s="1"/>
  <c r="AD44" i="8"/>
  <c r="N44" i="8" s="1"/>
  <c r="N45" i="16" s="1"/>
  <c r="Z41" i="8"/>
  <c r="AC38" i="8"/>
  <c r="M38" i="8" s="1"/>
  <c r="M39" i="16" s="1"/>
  <c r="AB37" i="8"/>
  <c r="L37" i="8" s="1"/>
  <c r="AA36" i="8"/>
  <c r="AD35" i="8"/>
  <c r="N35" i="8" s="1"/>
  <c r="N36" i="16" s="1"/>
  <c r="AD34" i="8"/>
  <c r="AC33" i="8"/>
  <c r="M33" i="8" s="1"/>
  <c r="M34" i="16" s="1"/>
  <c r="AB32" i="8"/>
  <c r="L32" i="8" s="1"/>
  <c r="Y31" i="8"/>
  <c r="Y30" i="8"/>
  <c r="AC29" i="8"/>
  <c r="M29" i="8" s="1"/>
  <c r="M30" i="16" s="1"/>
  <c r="R28" i="8"/>
  <c r="AD27" i="8"/>
  <c r="N27" i="8" s="1"/>
  <c r="N28" i="16" s="1"/>
  <c r="Z25" i="8"/>
  <c r="AB24" i="8"/>
  <c r="L24" i="8" s="1"/>
  <c r="AD23" i="8"/>
  <c r="N23" i="8" s="1"/>
  <c r="N24" i="16" s="1"/>
  <c r="Z22" i="8"/>
  <c r="Y21" i="8"/>
  <c r="AD20" i="8"/>
  <c r="N20" i="8" s="1"/>
  <c r="N21" i="16" s="1"/>
  <c r="Y20" i="8"/>
  <c r="AB19" i="8"/>
  <c r="L19" i="8" s="1"/>
  <c r="AA18" i="8"/>
  <c r="Y17" i="8"/>
  <c r="AA20" i="8"/>
  <c r="AD22" i="8"/>
  <c r="AC23" i="8"/>
  <c r="M23" i="8" s="1"/>
  <c r="M24" i="16" s="1"/>
  <c r="Y27" i="8"/>
  <c r="AD31" i="8"/>
  <c r="N31" i="8" s="1"/>
  <c r="N32" i="16" s="1"/>
  <c r="Z36" i="8"/>
  <c r="AC48" i="8"/>
  <c r="M48" i="8" s="1"/>
  <c r="M49" i="16" s="1"/>
  <c r="AD50" i="8"/>
  <c r="N50" i="8" s="1"/>
  <c r="N51" i="16" s="1"/>
  <c r="AA56" i="8"/>
  <c r="AB17" i="8"/>
  <c r="L17" i="8" s="1"/>
  <c r="AC21" i="8"/>
  <c r="M21" i="8" s="1"/>
  <c r="M22" i="16" s="1"/>
  <c r="Y25" i="8"/>
  <c r="X17" i="8"/>
  <c r="AD18" i="8"/>
  <c r="N18" i="8" s="1"/>
  <c r="N19" i="16" s="1"/>
  <c r="AA19" i="8"/>
  <c r="Z20" i="8"/>
  <c r="X21" i="8"/>
  <c r="AB22" i="8"/>
  <c r="AA23" i="8"/>
  <c r="AC24" i="8"/>
  <c r="M24" i="8" s="1"/>
  <c r="M25" i="16" s="1"/>
  <c r="AD25" i="8"/>
  <c r="N25" i="8" s="1"/>
  <c r="N26" i="16" s="1"/>
  <c r="AB26" i="8"/>
  <c r="L26" i="8" s="1"/>
  <c r="AD28" i="8"/>
  <c r="AA29" i="8"/>
  <c r="AB30" i="8"/>
  <c r="L30" i="8" s="1"/>
  <c r="AA31" i="8"/>
  <c r="AA32" i="8"/>
  <c r="AB34" i="8"/>
  <c r="Z37" i="8"/>
  <c r="AA47" i="8"/>
  <c r="AB49" i="8"/>
  <c r="L49" i="8" s="1"/>
  <c r="R50" i="8"/>
  <c r="AD55" i="8"/>
  <c r="N55" i="8" s="1"/>
  <c r="N56" i="16" s="1"/>
  <c r="AA59" i="8"/>
  <c r="Z63" i="8"/>
  <c r="AB64" i="8"/>
  <c r="Y65" i="8"/>
  <c r="Z66" i="8"/>
  <c r="AA69" i="8"/>
  <c r="AC22" i="8"/>
  <c r="AC52" i="8"/>
  <c r="AC46" i="8"/>
  <c r="AC64" i="8"/>
  <c r="AC70" i="8"/>
  <c r="AC58" i="8"/>
  <c r="Z5" i="8"/>
  <c r="AA22" i="8"/>
  <c r="Z4" i="8"/>
  <c r="N15" i="16"/>
  <c r="K8" i="14"/>
  <c r="K8" i="17"/>
  <c r="K8" i="18"/>
  <c r="K10" i="14"/>
  <c r="AA11" i="8"/>
  <c r="AB11" i="8" s="1"/>
  <c r="Z8" i="8"/>
  <c r="E9" i="13"/>
  <c r="K10" i="13"/>
  <c r="E9" i="9"/>
  <c r="Z6" i="8"/>
  <c r="K10" i="9"/>
  <c r="K8" i="13"/>
  <c r="E10" i="17"/>
  <c r="K8" i="9"/>
  <c r="K9" i="9"/>
  <c r="E10" i="18"/>
  <c r="J11" i="13"/>
  <c r="J11" i="18"/>
  <c r="J11" i="9"/>
  <c r="J11" i="14"/>
  <c r="J11" i="17"/>
  <c r="D9" i="13"/>
  <c r="S10" i="8"/>
  <c r="J10" i="15"/>
  <c r="X11" i="8"/>
  <c r="J10" i="14"/>
  <c r="J10" i="17"/>
  <c r="J10" i="9"/>
  <c r="J10" i="13"/>
  <c r="J9" i="17"/>
  <c r="X10" i="8"/>
  <c r="J9" i="15"/>
  <c r="J9" i="9"/>
  <c r="J9" i="18"/>
  <c r="J9" i="13"/>
  <c r="J8" i="17"/>
  <c r="J8" i="14"/>
  <c r="J8" i="9"/>
  <c r="X9" i="8"/>
  <c r="J8" i="13"/>
  <c r="J8" i="15"/>
  <c r="D10" i="9"/>
  <c r="D10" i="15"/>
  <c r="D10" i="13"/>
  <c r="D10" i="14"/>
  <c r="D10" i="17"/>
  <c r="D10" i="18"/>
  <c r="D9" i="9"/>
  <c r="D9" i="17"/>
  <c r="D9" i="14"/>
  <c r="D9" i="15"/>
  <c r="S9" i="8"/>
  <c r="D8" i="9"/>
  <c r="D8" i="15"/>
  <c r="D8" i="18"/>
  <c r="D8" i="13"/>
  <c r="D8" i="14"/>
  <c r="Y22" i="8"/>
  <c r="N68" i="8"/>
  <c r="N69" i="16" s="1"/>
  <c r="Y64" i="8"/>
  <c r="Y52" i="8"/>
  <c r="Y70" i="8"/>
  <c r="Y58" i="8"/>
  <c r="Y46" i="8"/>
  <c r="AA70" i="8"/>
  <c r="AA58" i="8"/>
  <c r="AA46" i="8"/>
  <c r="AA64" i="8"/>
  <c r="AA52" i="8"/>
  <c r="K10" i="15"/>
  <c r="K8" i="15"/>
  <c r="E9" i="15"/>
  <c r="K9" i="15"/>
  <c r="E10" i="14"/>
  <c r="E10" i="13"/>
  <c r="K9" i="14"/>
  <c r="K9" i="17"/>
  <c r="K9" i="18"/>
  <c r="E9" i="17"/>
  <c r="E9" i="18"/>
  <c r="W11" i="8" l="1"/>
  <c r="G17" i="8" s="1"/>
  <c r="T11" i="8"/>
  <c r="D17" i="8" s="1"/>
  <c r="F14" i="18"/>
  <c r="A15" i="20"/>
  <c r="G14" i="18"/>
  <c r="G14" i="20"/>
  <c r="F14" i="20"/>
  <c r="G14" i="23"/>
  <c r="F14" i="23"/>
  <c r="F14" i="19"/>
  <c r="G14" i="19"/>
  <c r="G14" i="21"/>
  <c r="F14" i="21"/>
  <c r="AA40" i="8"/>
  <c r="AA34" i="8"/>
  <c r="AA28" i="8"/>
  <c r="F14" i="22"/>
  <c r="G14" i="22"/>
  <c r="A57" i="23"/>
  <c r="A57" i="21"/>
  <c r="A57" i="20"/>
  <c r="A57" i="19"/>
  <c r="A57" i="22"/>
  <c r="A15" i="19"/>
  <c r="A15" i="22"/>
  <c r="A15" i="23"/>
  <c r="A15" i="21"/>
  <c r="A51" i="19"/>
  <c r="A51" i="22"/>
  <c r="A51" i="23"/>
  <c r="A51" i="21"/>
  <c r="A51" i="20"/>
  <c r="A39" i="23"/>
  <c r="A39" i="20"/>
  <c r="A39" i="19"/>
  <c r="A39" i="22"/>
  <c r="A39" i="21"/>
  <c r="A63" i="21"/>
  <c r="A63" i="20"/>
  <c r="A63" i="19"/>
  <c r="A63" i="22"/>
  <c r="A63" i="23"/>
  <c r="A15" i="17"/>
  <c r="A45" i="20"/>
  <c r="A45" i="19"/>
  <c r="A45" i="22"/>
  <c r="A45" i="23"/>
  <c r="A45" i="21"/>
  <c r="A15" i="14"/>
  <c r="A15" i="13"/>
  <c r="B16" i="8" s="1"/>
  <c r="B12" i="16"/>
  <c r="G11" i="8"/>
  <c r="G12" i="16" s="1"/>
  <c r="B10" i="16"/>
  <c r="G9" i="8"/>
  <c r="G10" i="16" s="1"/>
  <c r="B11" i="16"/>
  <c r="G10" i="8"/>
  <c r="G11" i="16" s="1"/>
  <c r="G13" i="16"/>
  <c r="B12" i="8"/>
  <c r="K62" i="8"/>
  <c r="K63" i="16" s="1"/>
  <c r="L63" i="16"/>
  <c r="K18" i="8"/>
  <c r="K19" i="16" s="1"/>
  <c r="L19" i="16"/>
  <c r="K29" i="8"/>
  <c r="K30" i="16" s="1"/>
  <c r="L30" i="16"/>
  <c r="K36" i="8"/>
  <c r="K37" i="16" s="1"/>
  <c r="L37" i="16"/>
  <c r="A15" i="18"/>
  <c r="K25" i="8"/>
  <c r="K26" i="16" s="1"/>
  <c r="L26" i="16"/>
  <c r="A15" i="9"/>
  <c r="L27" i="16"/>
  <c r="K26" i="8"/>
  <c r="K27" i="16" s="1"/>
  <c r="L33" i="16"/>
  <c r="K32" i="8"/>
  <c r="K33" i="16" s="1"/>
  <c r="K53" i="8"/>
  <c r="K54" i="16" s="1"/>
  <c r="L54" i="16"/>
  <c r="A15" i="15"/>
  <c r="K30" i="8"/>
  <c r="K31" i="16" s="1"/>
  <c r="L31" i="16"/>
  <c r="K37" i="8"/>
  <c r="K38" i="16" s="1"/>
  <c r="L38" i="16"/>
  <c r="L43" i="16"/>
  <c r="K42" i="8"/>
  <c r="K43" i="16" s="1"/>
  <c r="K47" i="8"/>
  <c r="K48" i="16" s="1"/>
  <c r="L48" i="16"/>
  <c r="K66" i="8"/>
  <c r="K67" i="16" s="1"/>
  <c r="L67" i="16"/>
  <c r="K41" i="8"/>
  <c r="K42" i="16" s="1"/>
  <c r="L42" i="16"/>
  <c r="K55" i="8"/>
  <c r="K56" i="16" s="1"/>
  <c r="L56" i="16"/>
  <c r="K68" i="8"/>
  <c r="K69" i="16" s="1"/>
  <c r="L69" i="16"/>
  <c r="K38" i="8"/>
  <c r="K39" i="16" s="1"/>
  <c r="L39" i="16"/>
  <c r="K45" i="8"/>
  <c r="K46" i="16" s="1"/>
  <c r="L46" i="16"/>
  <c r="K17" i="8"/>
  <c r="K18" i="16" s="1"/>
  <c r="L18" i="16"/>
  <c r="K20" i="8"/>
  <c r="K21" i="16" s="1"/>
  <c r="L21" i="16"/>
  <c r="K56" i="8"/>
  <c r="K57" i="16" s="1"/>
  <c r="L57" i="16"/>
  <c r="K31" i="8"/>
  <c r="K32" i="16" s="1"/>
  <c r="L32" i="16"/>
  <c r="K33" i="8"/>
  <c r="K34" i="16" s="1"/>
  <c r="L34" i="16"/>
  <c r="K67" i="8"/>
  <c r="K68" i="16" s="1"/>
  <c r="L68" i="16"/>
  <c r="K60" i="8"/>
  <c r="K61" i="16" s="1"/>
  <c r="L61" i="16"/>
  <c r="K24" i="8"/>
  <c r="K25" i="16" s="1"/>
  <c r="L25" i="16"/>
  <c r="K57" i="8"/>
  <c r="K58" i="16" s="1"/>
  <c r="L58" i="16"/>
  <c r="L66" i="16"/>
  <c r="K65" i="8"/>
  <c r="K66" i="16" s="1"/>
  <c r="K23" i="8"/>
  <c r="K24" i="16" s="1"/>
  <c r="L24" i="16"/>
  <c r="K27" i="8"/>
  <c r="K28" i="16" s="1"/>
  <c r="L28" i="16"/>
  <c r="K59" i="8"/>
  <c r="K60" i="16" s="1"/>
  <c r="L60" i="16"/>
  <c r="K39" i="8"/>
  <c r="K40" i="16" s="1"/>
  <c r="L40" i="16"/>
  <c r="K50" i="8"/>
  <c r="K51" i="16" s="1"/>
  <c r="L51" i="16"/>
  <c r="K69" i="8"/>
  <c r="K70" i="16" s="1"/>
  <c r="L70" i="16"/>
  <c r="K49" i="8"/>
  <c r="K50" i="16" s="1"/>
  <c r="L50" i="16"/>
  <c r="K19" i="8"/>
  <c r="K20" i="16" s="1"/>
  <c r="L20" i="16"/>
  <c r="K51" i="8"/>
  <c r="K52" i="16" s="1"/>
  <c r="L52" i="16"/>
  <c r="K48" i="8"/>
  <c r="K49" i="16" s="1"/>
  <c r="L49" i="16"/>
  <c r="L55" i="16"/>
  <c r="K54" i="8"/>
  <c r="K55" i="16" s="1"/>
  <c r="K21" i="8"/>
  <c r="K22" i="16" s="1"/>
  <c r="L22" i="16"/>
  <c r="K43" i="8"/>
  <c r="K44" i="16" s="1"/>
  <c r="L44" i="16"/>
  <c r="K44" i="8"/>
  <c r="K45" i="16" s="1"/>
  <c r="L45" i="16"/>
  <c r="K61" i="8"/>
  <c r="K62" i="16" s="1"/>
  <c r="L62" i="16"/>
  <c r="K63" i="8"/>
  <c r="K64" i="16" s="1"/>
  <c r="L64" i="16"/>
  <c r="L36" i="16"/>
  <c r="K35" i="8"/>
  <c r="K36" i="16" s="1"/>
  <c r="C14" i="17"/>
  <c r="AU21" i="8"/>
  <c r="AV21" i="8" s="1"/>
  <c r="C14" i="15"/>
  <c r="C14" i="13"/>
  <c r="D15" i="8" s="1"/>
  <c r="D19" i="8"/>
  <c r="AU25" i="8"/>
  <c r="AV25" i="8" s="1"/>
  <c r="AU31" i="8"/>
  <c r="AV31" i="8" s="1"/>
  <c r="C14" i="9"/>
  <c r="AU20" i="8"/>
  <c r="AV20" i="8" s="1"/>
  <c r="AU23" i="8"/>
  <c r="AV23" i="8" s="1"/>
  <c r="AU37" i="8"/>
  <c r="AV37" i="8" s="1"/>
  <c r="AU33" i="8"/>
  <c r="AV33" i="8" s="1"/>
  <c r="AU27" i="8"/>
  <c r="AV27" i="8" s="1"/>
  <c r="AU29" i="8"/>
  <c r="AV29" i="8" s="1"/>
  <c r="F14" i="17"/>
  <c r="G14" i="14"/>
  <c r="C14" i="18"/>
  <c r="C14" i="14"/>
  <c r="F14" i="14"/>
  <c r="G14" i="17"/>
  <c r="AU26" i="8"/>
  <c r="AV26" i="8" s="1"/>
  <c r="AU18" i="8"/>
  <c r="AV18" i="8" s="1"/>
  <c r="AU36" i="8"/>
  <c r="AV36" i="8" s="1"/>
  <c r="AU38" i="8"/>
  <c r="AV38" i="8" s="1"/>
  <c r="AU17" i="8"/>
  <c r="AV17" i="8" s="1"/>
  <c r="AU32" i="8"/>
  <c r="AV32" i="8" s="1"/>
  <c r="AU19" i="8"/>
  <c r="AV19" i="8" s="1"/>
  <c r="AU39" i="8"/>
  <c r="AV39" i="8" s="1"/>
  <c r="AU30" i="8"/>
  <c r="AV30" i="8" s="1"/>
  <c r="AU24" i="8"/>
  <c r="AV24" i="8" s="1"/>
  <c r="AU35" i="8"/>
  <c r="AV35" i="8" s="1"/>
  <c r="G14" i="15"/>
  <c r="F14" i="15"/>
  <c r="F14" i="9"/>
  <c r="G14" i="9"/>
  <c r="G14" i="13"/>
  <c r="F14" i="13"/>
  <c r="A51" i="13"/>
  <c r="A51" i="14"/>
  <c r="A51" i="18"/>
  <c r="A51" i="17"/>
  <c r="A51" i="15"/>
  <c r="A51" i="9"/>
  <c r="A63" i="18"/>
  <c r="A63" i="17"/>
  <c r="A63" i="15"/>
  <c r="A63" i="9"/>
  <c r="A63" i="13"/>
  <c r="A63" i="14"/>
  <c r="Z7" i="8"/>
  <c r="A45" i="9"/>
  <c r="A45" i="13"/>
  <c r="A45" i="14"/>
  <c r="A45" i="18"/>
  <c r="A45" i="17"/>
  <c r="A45" i="15"/>
  <c r="Z3" i="8"/>
  <c r="A39" i="18"/>
  <c r="A39" i="17"/>
  <c r="A39" i="15"/>
  <c r="A39" i="9"/>
  <c r="A39" i="13"/>
  <c r="A39" i="14"/>
  <c r="A57" i="14"/>
  <c r="A57" i="18"/>
  <c r="A57" i="17"/>
  <c r="A57" i="15"/>
  <c r="A57" i="9"/>
  <c r="A57" i="13"/>
  <c r="G60" i="8" l="1"/>
  <c r="P60" i="8" s="1"/>
  <c r="B52" i="8"/>
  <c r="B53" i="16" s="1"/>
  <c r="D16" i="16"/>
  <c r="B46" i="8"/>
  <c r="B47" i="16" s="1"/>
  <c r="B64" i="8"/>
  <c r="B65" i="16" s="1"/>
  <c r="B58" i="8"/>
  <c r="B40" i="8"/>
  <c r="B41" i="16" s="1"/>
  <c r="H15" i="8"/>
  <c r="H16" i="16" s="1"/>
  <c r="G15" i="8"/>
  <c r="G16" i="16" s="1"/>
  <c r="Y40" i="8"/>
  <c r="Y34" i="8"/>
  <c r="A27" i="9" s="1"/>
  <c r="Y28" i="8"/>
  <c r="B59" i="16"/>
  <c r="B17" i="16"/>
  <c r="D69" i="8"/>
  <c r="D70" i="16" s="1"/>
  <c r="D44" i="8"/>
  <c r="D45" i="16" s="1"/>
  <c r="D61" i="8"/>
  <c r="O61" i="8" s="1"/>
  <c r="D27" i="8"/>
  <c r="D28" i="16" s="1"/>
  <c r="D63" i="8"/>
  <c r="E63" i="8" s="1"/>
  <c r="F63" i="8" s="1"/>
  <c r="F64" i="16" s="1"/>
  <c r="D60" i="8"/>
  <c r="O60" i="8" s="1"/>
  <c r="D33" i="8"/>
  <c r="E33" i="8" s="1"/>
  <c r="F33" i="8" s="1"/>
  <c r="F34" i="16" s="1"/>
  <c r="D50" i="8"/>
  <c r="D51" i="16" s="1"/>
  <c r="D65" i="8"/>
  <c r="D66" i="16" s="1"/>
  <c r="D35" i="8"/>
  <c r="E35" i="8" s="1"/>
  <c r="E36" i="16" s="1"/>
  <c r="D51" i="8"/>
  <c r="D52" i="16" s="1"/>
  <c r="D68" i="8"/>
  <c r="O68" i="8" s="1"/>
  <c r="D67" i="8"/>
  <c r="D42" i="8"/>
  <c r="D56" i="8"/>
  <c r="O56" i="8" s="1"/>
  <c r="D49" i="8"/>
  <c r="O49" i="8" s="1"/>
  <c r="D45" i="8"/>
  <c r="E45" i="8" s="1"/>
  <c r="F45" i="8" s="1"/>
  <c r="F46" i="16" s="1"/>
  <c r="D21" i="8"/>
  <c r="D22" i="16" s="1"/>
  <c r="D47" i="8"/>
  <c r="O47" i="8" s="1"/>
  <c r="D36" i="8"/>
  <c r="D43" i="8"/>
  <c r="O43" i="8" s="1"/>
  <c r="D54" i="8"/>
  <c r="E54" i="8" s="1"/>
  <c r="E55" i="16" s="1"/>
  <c r="D62" i="8"/>
  <c r="O62" i="8" s="1"/>
  <c r="D24" i="8"/>
  <c r="O24" i="8" s="1"/>
  <c r="D32" i="8"/>
  <c r="O32" i="8" s="1"/>
  <c r="D37" i="8"/>
  <c r="D38" i="16" s="1"/>
  <c r="D55" i="8"/>
  <c r="D38" i="8"/>
  <c r="O38" i="8" s="1"/>
  <c r="D20" i="8"/>
  <c r="O20" i="8" s="1"/>
  <c r="D53" i="8"/>
  <c r="E53" i="8" s="1"/>
  <c r="F53" i="8" s="1"/>
  <c r="F54" i="16" s="1"/>
  <c r="D29" i="8"/>
  <c r="O29" i="8" s="1"/>
  <c r="D25" i="8"/>
  <c r="D26" i="16" s="1"/>
  <c r="D31" i="8"/>
  <c r="D23" i="8"/>
  <c r="D24" i="16" s="1"/>
  <c r="D66" i="8"/>
  <c r="E66" i="8" s="1"/>
  <c r="E67" i="16" s="1"/>
  <c r="D39" i="8"/>
  <c r="O19" i="8"/>
  <c r="E19" i="8"/>
  <c r="F19" i="8" s="1"/>
  <c r="F20" i="16" s="1"/>
  <c r="D20" i="16"/>
  <c r="D30" i="8"/>
  <c r="D31" i="16" s="1"/>
  <c r="D41" i="8"/>
  <c r="E41" i="8" s="1"/>
  <c r="F41" i="8" s="1"/>
  <c r="F42" i="16" s="1"/>
  <c r="D57" i="8"/>
  <c r="E57" i="8" s="1"/>
  <c r="F57" i="8" s="1"/>
  <c r="F58" i="16" s="1"/>
  <c r="D48" i="8"/>
  <c r="D49" i="16" s="1"/>
  <c r="E17" i="8"/>
  <c r="D59" i="8"/>
  <c r="D26" i="8"/>
  <c r="D18" i="8"/>
  <c r="G33" i="8"/>
  <c r="G34" i="16" s="1"/>
  <c r="G39" i="8"/>
  <c r="H39" i="8" s="1"/>
  <c r="G66" i="8"/>
  <c r="H66" i="8" s="1"/>
  <c r="G23" i="8"/>
  <c r="H23" i="8" s="1"/>
  <c r="G61" i="8"/>
  <c r="P61" i="8" s="1"/>
  <c r="G62" i="8"/>
  <c r="P62" i="8" s="1"/>
  <c r="G42" i="8"/>
  <c r="H42" i="8" s="1"/>
  <c r="G19" i="8"/>
  <c r="H19" i="8" s="1"/>
  <c r="G67" i="8"/>
  <c r="H67" i="8" s="1"/>
  <c r="G18" i="8"/>
  <c r="P18" i="8" s="1"/>
  <c r="G44" i="8"/>
  <c r="H44" i="8" s="1"/>
  <c r="G47" i="8"/>
  <c r="G48" i="16" s="1"/>
  <c r="G21" i="8"/>
  <c r="P21" i="8" s="1"/>
  <c r="G36" i="8"/>
  <c r="P36" i="8" s="1"/>
  <c r="G27" i="8"/>
  <c r="H27" i="8" s="1"/>
  <c r="G26" i="8"/>
  <c r="P26" i="8" s="1"/>
  <c r="G43" i="8"/>
  <c r="P43" i="8" s="1"/>
  <c r="G49" i="8"/>
  <c r="P49" i="8" s="1"/>
  <c r="G65" i="8"/>
  <c r="H65" i="8" s="1"/>
  <c r="G51" i="8"/>
  <c r="H51" i="8" s="1"/>
  <c r="G50" i="8"/>
  <c r="H50" i="8" s="1"/>
  <c r="G69" i="8"/>
  <c r="G70" i="16" s="1"/>
  <c r="G29" i="8"/>
  <c r="H29" i="8" s="1"/>
  <c r="G48" i="8"/>
  <c r="P48" i="8" s="1"/>
  <c r="G63" i="8"/>
  <c r="H63" i="8" s="1"/>
  <c r="G68" i="8"/>
  <c r="H68" i="8" s="1"/>
  <c r="G54" i="8"/>
  <c r="H54" i="8" s="1"/>
  <c r="G55" i="8"/>
  <c r="H55" i="8" s="1"/>
  <c r="G25" i="8"/>
  <c r="P25" i="8" s="1"/>
  <c r="G24" i="8"/>
  <c r="H24" i="8" s="1"/>
  <c r="G30" i="8"/>
  <c r="P30" i="8" s="1"/>
  <c r="G32" i="8"/>
  <c r="P32" i="8" s="1"/>
  <c r="G57" i="8"/>
  <c r="H57" i="8" s="1"/>
  <c r="G31" i="8"/>
  <c r="P31" i="8" s="1"/>
  <c r="G20" i="8"/>
  <c r="G21" i="16" s="1"/>
  <c r="G38" i="8"/>
  <c r="P38" i="8" s="1"/>
  <c r="G41" i="8"/>
  <c r="G42" i="16" s="1"/>
  <c r="G35" i="8"/>
  <c r="G36" i="16" s="1"/>
  <c r="G53" i="8"/>
  <c r="G54" i="16" s="1"/>
  <c r="G37" i="8"/>
  <c r="H37" i="8" s="1"/>
  <c r="G45" i="8"/>
  <c r="P45" i="8" s="1"/>
  <c r="G56" i="8"/>
  <c r="G57" i="16" s="1"/>
  <c r="G59" i="8"/>
  <c r="G60" i="16" s="1"/>
  <c r="G61" i="16" l="1"/>
  <c r="H60" i="8"/>
  <c r="W60" i="8" s="1"/>
  <c r="G18" i="16"/>
  <c r="H17" i="8"/>
  <c r="I17" i="8" s="1"/>
  <c r="A21" i="20"/>
  <c r="A21" i="17"/>
  <c r="A21" i="23"/>
  <c r="A21" i="9"/>
  <c r="A21" i="21"/>
  <c r="A21" i="19"/>
  <c r="A21" i="14"/>
  <c r="A21" i="18"/>
  <c r="A21" i="15"/>
  <c r="A21" i="13"/>
  <c r="A21" i="22"/>
  <c r="A27" i="14"/>
  <c r="A27" i="13"/>
  <c r="A27" i="17"/>
  <c r="A27" i="15"/>
  <c r="A27" i="23"/>
  <c r="A27" i="21"/>
  <c r="A27" i="20"/>
  <c r="A27" i="22"/>
  <c r="A27" i="19"/>
  <c r="A27" i="18"/>
  <c r="A33" i="15"/>
  <c r="A33" i="13"/>
  <c r="A33" i="9"/>
  <c r="A33" i="14"/>
  <c r="A33" i="23"/>
  <c r="A33" i="21"/>
  <c r="A33" i="22"/>
  <c r="A33" i="20"/>
  <c r="A33" i="19"/>
  <c r="A33" i="18"/>
  <c r="A33" i="17"/>
  <c r="D36" i="16"/>
  <c r="O53" i="8"/>
  <c r="D48" i="16"/>
  <c r="O35" i="8"/>
  <c r="E44" i="8"/>
  <c r="F44" i="8" s="1"/>
  <c r="F45" i="16" s="1"/>
  <c r="E60" i="8"/>
  <c r="E61" i="16" s="1"/>
  <c r="E21" i="8"/>
  <c r="F21" i="8" s="1"/>
  <c r="F22" i="16" s="1"/>
  <c r="O44" i="8"/>
  <c r="D61" i="16"/>
  <c r="F54" i="8"/>
  <c r="F55" i="16" s="1"/>
  <c r="D57" i="16"/>
  <c r="G37" i="16"/>
  <c r="F66" i="8"/>
  <c r="F67" i="16" s="1"/>
  <c r="E64" i="16"/>
  <c r="E34" i="16"/>
  <c r="O63" i="8"/>
  <c r="D34" i="16"/>
  <c r="O66" i="8"/>
  <c r="E29" i="8"/>
  <c r="F29" i="8" s="1"/>
  <c r="F30" i="16" s="1"/>
  <c r="E61" i="8"/>
  <c r="E62" i="16" s="1"/>
  <c r="D21" i="16"/>
  <c r="O69" i="8"/>
  <c r="G67" i="16"/>
  <c r="E49" i="8"/>
  <c r="E50" i="16" s="1"/>
  <c r="E69" i="8"/>
  <c r="F69" i="8" s="1"/>
  <c r="F70" i="16" s="1"/>
  <c r="E58" i="16"/>
  <c r="D58" i="16"/>
  <c r="E62" i="8"/>
  <c r="F62" i="8" s="1"/>
  <c r="F63" i="16" s="1"/>
  <c r="D67" i="16"/>
  <c r="E47" i="8"/>
  <c r="F47" i="8" s="1"/>
  <c r="F48" i="16" s="1"/>
  <c r="O33" i="8"/>
  <c r="D62" i="16"/>
  <c r="D63" i="16"/>
  <c r="D30" i="16"/>
  <c r="E37" i="8"/>
  <c r="F37" i="8" s="1"/>
  <c r="F38" i="16" s="1"/>
  <c r="O51" i="8"/>
  <c r="E38" i="8"/>
  <c r="E39" i="16" s="1"/>
  <c r="O57" i="8"/>
  <c r="E25" i="8"/>
  <c r="E26" i="16" s="1"/>
  <c r="D69" i="16"/>
  <c r="E24" i="8"/>
  <c r="F24" i="8" s="1"/>
  <c r="F25" i="16" s="1"/>
  <c r="D39" i="16"/>
  <c r="D50" i="16"/>
  <c r="E56" i="8"/>
  <c r="D25" i="16"/>
  <c r="E51" i="8"/>
  <c r="E50" i="8"/>
  <c r="F50" i="8" s="1"/>
  <c r="F51" i="16" s="1"/>
  <c r="E27" i="8"/>
  <c r="F27" i="8" s="1"/>
  <c r="F28" i="16" s="1"/>
  <c r="F35" i="8"/>
  <c r="F36" i="16" s="1"/>
  <c r="E54" i="16"/>
  <c r="E23" i="8"/>
  <c r="E24" i="16" s="1"/>
  <c r="O54" i="8"/>
  <c r="O23" i="8"/>
  <c r="D55" i="16"/>
  <c r="D54" i="16"/>
  <c r="O37" i="8"/>
  <c r="O21" i="8"/>
  <c r="E30" i="8"/>
  <c r="F30" i="8" s="1"/>
  <c r="F31" i="16" s="1"/>
  <c r="D64" i="16"/>
  <c r="O25" i="8"/>
  <c r="O50" i="8"/>
  <c r="O30" i="8"/>
  <c r="E68" i="8"/>
  <c r="F68" i="8" s="1"/>
  <c r="F69" i="16" s="1"/>
  <c r="E48" i="8"/>
  <c r="F48" i="8" s="1"/>
  <c r="F49" i="16" s="1"/>
  <c r="E46" i="16"/>
  <c r="O48" i="8"/>
  <c r="D46" i="16"/>
  <c r="O65" i="8"/>
  <c r="O27" i="8"/>
  <c r="E43" i="8"/>
  <c r="D44" i="16"/>
  <c r="O67" i="8"/>
  <c r="D68" i="16"/>
  <c r="E67" i="8"/>
  <c r="E65" i="8"/>
  <c r="F65" i="8" s="1"/>
  <c r="F66" i="16" s="1"/>
  <c r="O45" i="8"/>
  <c r="E36" i="8"/>
  <c r="O36" i="8"/>
  <c r="D37" i="16"/>
  <c r="O31" i="8"/>
  <c r="D32" i="16"/>
  <c r="D33" i="16"/>
  <c r="O55" i="8"/>
  <c r="D56" i="16"/>
  <c r="E55" i="8"/>
  <c r="E20" i="8"/>
  <c r="E21" i="16" s="1"/>
  <c r="E32" i="8"/>
  <c r="E31" i="8"/>
  <c r="O42" i="8"/>
  <c r="E42" i="8"/>
  <c r="D43" i="16"/>
  <c r="H47" i="8"/>
  <c r="H48" i="16" s="1"/>
  <c r="E42" i="16"/>
  <c r="P19" i="8"/>
  <c r="E20" i="16"/>
  <c r="O41" i="8"/>
  <c r="P23" i="8"/>
  <c r="G50" i="16"/>
  <c r="D42" i="16"/>
  <c r="H33" i="8"/>
  <c r="W33" i="8" s="1"/>
  <c r="H43" i="8"/>
  <c r="W43" i="8" s="1"/>
  <c r="P50" i="8"/>
  <c r="G51" i="16"/>
  <c r="F17" i="8"/>
  <c r="F18" i="16" s="1"/>
  <c r="E18" i="16"/>
  <c r="O39" i="8"/>
  <c r="E39" i="8"/>
  <c r="D40" i="16"/>
  <c r="E18" i="8"/>
  <c r="O18" i="8"/>
  <c r="D19" i="16"/>
  <c r="E26" i="8"/>
  <c r="D27" i="16"/>
  <c r="O26" i="8"/>
  <c r="E59" i="8"/>
  <c r="D60" i="16"/>
  <c r="O59" i="8"/>
  <c r="O17" i="8"/>
  <c r="D18" i="16"/>
  <c r="P27" i="8"/>
  <c r="P65" i="8"/>
  <c r="G62" i="16"/>
  <c r="P33" i="8"/>
  <c r="G32" i="16"/>
  <c r="G69" i="16"/>
  <c r="G40" i="16"/>
  <c r="P63" i="8"/>
  <c r="G63" i="16"/>
  <c r="G19" i="16"/>
  <c r="H62" i="8"/>
  <c r="I62" i="8" s="1"/>
  <c r="P39" i="8"/>
  <c r="H18" i="8"/>
  <c r="W18" i="8" s="1"/>
  <c r="G31" i="16"/>
  <c r="P51" i="8"/>
  <c r="H53" i="8"/>
  <c r="W53" i="8" s="1"/>
  <c r="P29" i="8"/>
  <c r="H20" i="8"/>
  <c r="I20" i="8" s="1"/>
  <c r="G26" i="16"/>
  <c r="P42" i="8"/>
  <c r="H41" i="8"/>
  <c r="W41" i="8" s="1"/>
  <c r="G49" i="16"/>
  <c r="H69" i="8"/>
  <c r="I69" i="8" s="1"/>
  <c r="G27" i="16"/>
  <c r="P66" i="8"/>
  <c r="G43" i="16"/>
  <c r="H45" i="8"/>
  <c r="W45" i="8" s="1"/>
  <c r="G39" i="16"/>
  <c r="P55" i="8"/>
  <c r="H32" i="8"/>
  <c r="I32" i="8" s="1"/>
  <c r="G38" i="16"/>
  <c r="H38" i="8"/>
  <c r="I38" i="8" s="1"/>
  <c r="H49" i="8"/>
  <c r="I49" i="8" s="1"/>
  <c r="H25" i="8"/>
  <c r="I25" i="8" s="1"/>
  <c r="H36" i="8"/>
  <c r="I36" i="8" s="1"/>
  <c r="P57" i="8"/>
  <c r="P69" i="8"/>
  <c r="G44" i="16"/>
  <c r="G22" i="16"/>
  <c r="G45" i="16"/>
  <c r="G46" i="16"/>
  <c r="P35" i="8"/>
  <c r="G58" i="16"/>
  <c r="G33" i="16"/>
  <c r="G28" i="16"/>
  <c r="P67" i="8"/>
  <c r="H61" i="8"/>
  <c r="W61" i="8" s="1"/>
  <c r="P56" i="8"/>
  <c r="H35" i="8"/>
  <c r="W35" i="8" s="1"/>
  <c r="G68" i="16"/>
  <c r="G20" i="16"/>
  <c r="G24" i="16"/>
  <c r="G64" i="16"/>
  <c r="P24" i="8"/>
  <c r="G66" i="16"/>
  <c r="H31" i="8"/>
  <c r="W31" i="8" s="1"/>
  <c r="P47" i="8"/>
  <c r="H56" i="8"/>
  <c r="I56" i="8" s="1"/>
  <c r="P41" i="8"/>
  <c r="G56" i="16"/>
  <c r="P68" i="8"/>
  <c r="P44" i="8"/>
  <c r="P37" i="8"/>
  <c r="H48" i="8"/>
  <c r="W48" i="8" s="1"/>
  <c r="H21" i="8"/>
  <c r="I21" i="8" s="1"/>
  <c r="H59" i="8"/>
  <c r="I59" i="8" s="1"/>
  <c r="P54" i="8"/>
  <c r="G30" i="16"/>
  <c r="H30" i="8"/>
  <c r="H31" i="16" s="1"/>
  <c r="G52" i="16"/>
  <c r="H26" i="8"/>
  <c r="W26" i="8" s="1"/>
  <c r="P59" i="8"/>
  <c r="P53" i="8"/>
  <c r="P20" i="8"/>
  <c r="G55" i="16"/>
  <c r="P17" i="8"/>
  <c r="G25" i="16"/>
  <c r="W51" i="8"/>
  <c r="I51" i="8"/>
  <c r="H52" i="16"/>
  <c r="I23" i="8"/>
  <c r="W23" i="8"/>
  <c r="H24" i="16"/>
  <c r="I50" i="8"/>
  <c r="W50" i="8"/>
  <c r="H51" i="16"/>
  <c r="W67" i="8"/>
  <c r="I67" i="8"/>
  <c r="H68" i="16"/>
  <c r="I42" i="8"/>
  <c r="W42" i="8"/>
  <c r="H43" i="16"/>
  <c r="W68" i="8"/>
  <c r="I68" i="8"/>
  <c r="H69" i="16"/>
  <c r="W29" i="8"/>
  <c r="I29" i="8"/>
  <c r="H30" i="16"/>
  <c r="I44" i="8"/>
  <c r="W44" i="8"/>
  <c r="H45" i="16"/>
  <c r="I54" i="8"/>
  <c r="W54" i="8"/>
  <c r="H55" i="16"/>
  <c r="W24" i="8"/>
  <c r="I24" i="8"/>
  <c r="H25" i="16"/>
  <c r="I27" i="8"/>
  <c r="W27" i="8"/>
  <c r="H28" i="16"/>
  <c r="W65" i="8"/>
  <c r="I65" i="8"/>
  <c r="H66" i="16"/>
  <c r="I66" i="8"/>
  <c r="W66" i="8"/>
  <c r="H67" i="16"/>
  <c r="I39" i="8"/>
  <c r="W39" i="8"/>
  <c r="H40" i="16"/>
  <c r="I60" i="8"/>
  <c r="I37" i="8"/>
  <c r="W37" i="8"/>
  <c r="H38" i="16"/>
  <c r="W57" i="8"/>
  <c r="I57" i="8"/>
  <c r="H58" i="16"/>
  <c r="W19" i="8"/>
  <c r="I19" i="8"/>
  <c r="H20" i="16"/>
  <c r="W55" i="8"/>
  <c r="I55" i="8"/>
  <c r="H56" i="16"/>
  <c r="W63" i="8"/>
  <c r="I63" i="8"/>
  <c r="H64" i="16"/>
  <c r="B34" i="8" l="1"/>
  <c r="B35" i="16" s="1"/>
  <c r="H61" i="16"/>
  <c r="B28" i="8"/>
  <c r="B29" i="16" s="1"/>
  <c r="B22" i="8"/>
  <c r="B23" i="16" s="1"/>
  <c r="E51" i="16"/>
  <c r="F60" i="8"/>
  <c r="F61" i="16" s="1"/>
  <c r="E22" i="16"/>
  <c r="E45" i="16"/>
  <c r="H34" i="16"/>
  <c r="I33" i="8"/>
  <c r="J33" i="8" s="1"/>
  <c r="J34" i="16" s="1"/>
  <c r="E25" i="16"/>
  <c r="E70" i="16"/>
  <c r="I47" i="8"/>
  <c r="I48" i="16" s="1"/>
  <c r="E48" i="16"/>
  <c r="F61" i="8"/>
  <c r="F62" i="16" s="1"/>
  <c r="W47" i="8"/>
  <c r="E30" i="16"/>
  <c r="E31" i="16"/>
  <c r="E69" i="16"/>
  <c r="E63" i="16"/>
  <c r="F49" i="8"/>
  <c r="F50" i="16" s="1"/>
  <c r="F20" i="8"/>
  <c r="F21" i="16" s="1"/>
  <c r="E28" i="16"/>
  <c r="E38" i="16"/>
  <c r="F38" i="8"/>
  <c r="F39" i="16" s="1"/>
  <c r="F25" i="8"/>
  <c r="F26" i="16" s="1"/>
  <c r="F23" i="8"/>
  <c r="F24" i="16" s="1"/>
  <c r="E57" i="16"/>
  <c r="F56" i="8"/>
  <c r="F57" i="16" s="1"/>
  <c r="F51" i="8"/>
  <c r="F52" i="16" s="1"/>
  <c r="E52" i="16"/>
  <c r="E66" i="16"/>
  <c r="W20" i="8"/>
  <c r="E49" i="16"/>
  <c r="E32" i="16"/>
  <c r="F31" i="8"/>
  <c r="F32" i="16" s="1"/>
  <c r="E33" i="16"/>
  <c r="F32" i="8"/>
  <c r="F33" i="16" s="1"/>
  <c r="E56" i="16"/>
  <c r="F55" i="8"/>
  <c r="F56" i="16" s="1"/>
  <c r="F42" i="8"/>
  <c r="F43" i="16" s="1"/>
  <c r="E43" i="16"/>
  <c r="F36" i="8"/>
  <c r="F37" i="16" s="1"/>
  <c r="E37" i="16"/>
  <c r="F67" i="8"/>
  <c r="F68" i="16" s="1"/>
  <c r="E68" i="16"/>
  <c r="F43" i="8"/>
  <c r="F44" i="16" s="1"/>
  <c r="E44" i="16"/>
  <c r="H44" i="16"/>
  <c r="H19" i="16"/>
  <c r="I43" i="8"/>
  <c r="I44" i="16" s="1"/>
  <c r="I41" i="8"/>
  <c r="I42" i="16" s="1"/>
  <c r="H54" i="16"/>
  <c r="E40" i="16"/>
  <c r="F39" i="8"/>
  <c r="F40" i="16" s="1"/>
  <c r="F26" i="8"/>
  <c r="F27" i="16" s="1"/>
  <c r="E27" i="16"/>
  <c r="F59" i="8"/>
  <c r="F60" i="16" s="1"/>
  <c r="E60" i="16"/>
  <c r="F18" i="8"/>
  <c r="F19" i="16" s="1"/>
  <c r="E19" i="16"/>
  <c r="I45" i="8"/>
  <c r="J45" i="8" s="1"/>
  <c r="J46" i="16" s="1"/>
  <c r="H63" i="16"/>
  <c r="W62" i="8"/>
  <c r="H18" i="16"/>
  <c r="H50" i="16"/>
  <c r="H49" i="16"/>
  <c r="H39" i="16"/>
  <c r="H33" i="16"/>
  <c r="W49" i="8"/>
  <c r="I31" i="8"/>
  <c r="J31" i="8" s="1"/>
  <c r="J32" i="16" s="1"/>
  <c r="I18" i="8"/>
  <c r="J18" i="8" s="1"/>
  <c r="J19" i="16" s="1"/>
  <c r="I35" i="8"/>
  <c r="J35" i="8" s="1"/>
  <c r="J36" i="16" s="1"/>
  <c r="H70" i="16"/>
  <c r="H32" i="16"/>
  <c r="W69" i="8"/>
  <c r="W38" i="8"/>
  <c r="H27" i="16"/>
  <c r="W32" i="8"/>
  <c r="H21" i="16"/>
  <c r="H36" i="16"/>
  <c r="I53" i="8"/>
  <c r="J53" i="8" s="1"/>
  <c r="J54" i="16" s="1"/>
  <c r="H42" i="16"/>
  <c r="H60" i="16"/>
  <c r="I26" i="8"/>
  <c r="I27" i="16" s="1"/>
  <c r="I48" i="8"/>
  <c r="J48" i="8" s="1"/>
  <c r="J49" i="16" s="1"/>
  <c r="W30" i="8"/>
  <c r="H46" i="16"/>
  <c r="W17" i="8"/>
  <c r="W25" i="8"/>
  <c r="I30" i="8"/>
  <c r="J30" i="8" s="1"/>
  <c r="J31" i="16" s="1"/>
  <c r="H62" i="16"/>
  <c r="W59" i="8"/>
  <c r="H57" i="16"/>
  <c r="H37" i="16"/>
  <c r="H26" i="16"/>
  <c r="I61" i="8"/>
  <c r="J61" i="8" s="1"/>
  <c r="J62" i="16" s="1"/>
  <c r="H22" i="16"/>
  <c r="W56" i="8"/>
  <c r="W36" i="8"/>
  <c r="W21" i="8"/>
  <c r="J19" i="8"/>
  <c r="J20" i="16" s="1"/>
  <c r="I20" i="16"/>
  <c r="J21" i="8"/>
  <c r="J22" i="16" s="1"/>
  <c r="I22" i="16"/>
  <c r="J57" i="8"/>
  <c r="J58" i="16" s="1"/>
  <c r="I58" i="16"/>
  <c r="J39" i="8"/>
  <c r="J40" i="16" s="1"/>
  <c r="I40" i="16"/>
  <c r="J25" i="8"/>
  <c r="J26" i="16" s="1"/>
  <c r="I26" i="16"/>
  <c r="J69" i="8"/>
  <c r="J70" i="16" s="1"/>
  <c r="I70" i="16"/>
  <c r="J20" i="8"/>
  <c r="J21" i="16" s="1"/>
  <c r="I21" i="16"/>
  <c r="J49" i="8"/>
  <c r="J50" i="16" s="1"/>
  <c r="I50" i="16"/>
  <c r="J67" i="8"/>
  <c r="J68" i="16" s="1"/>
  <c r="I68" i="16"/>
  <c r="J55" i="8"/>
  <c r="J56" i="16" s="1"/>
  <c r="I56" i="16"/>
  <c r="J62" i="8"/>
  <c r="J63" i="16" s="1"/>
  <c r="I63" i="16"/>
  <c r="J60" i="8"/>
  <c r="J61" i="16" s="1"/>
  <c r="I61" i="16"/>
  <c r="J23" i="8"/>
  <c r="J24" i="16" s="1"/>
  <c r="I24" i="16"/>
  <c r="J63" i="8"/>
  <c r="J64" i="16" s="1"/>
  <c r="I64" i="16"/>
  <c r="J27" i="8"/>
  <c r="J28" i="16" s="1"/>
  <c r="I28" i="16"/>
  <c r="J32" i="8"/>
  <c r="J33" i="16" s="1"/>
  <c r="I33" i="16"/>
  <c r="J54" i="8"/>
  <c r="J55" i="16" s="1"/>
  <c r="I55" i="16"/>
  <c r="J44" i="8"/>
  <c r="J45" i="16" s="1"/>
  <c r="I45" i="16"/>
  <c r="J68" i="8"/>
  <c r="J69" i="16" s="1"/>
  <c r="I69" i="16"/>
  <c r="J42" i="8"/>
  <c r="J43" i="16" s="1"/>
  <c r="I43" i="16"/>
  <c r="J50" i="8"/>
  <c r="J51" i="16" s="1"/>
  <c r="I51" i="16"/>
  <c r="J17" i="8"/>
  <c r="J18" i="16" s="1"/>
  <c r="I18" i="16"/>
  <c r="J38" i="8"/>
  <c r="J39" i="16" s="1"/>
  <c r="I39" i="16"/>
  <c r="J37" i="8"/>
  <c r="J38" i="16" s="1"/>
  <c r="I38" i="16"/>
  <c r="J66" i="8"/>
  <c r="J67" i="16" s="1"/>
  <c r="I67" i="16"/>
  <c r="J65" i="8"/>
  <c r="J66" i="16" s="1"/>
  <c r="I66" i="16"/>
  <c r="J24" i="8"/>
  <c r="J25" i="16" s="1"/>
  <c r="I25" i="16"/>
  <c r="J59" i="8"/>
  <c r="J60" i="16" s="1"/>
  <c r="I60" i="16"/>
  <c r="J29" i="8"/>
  <c r="J30" i="16" s="1"/>
  <c r="I30" i="16"/>
  <c r="J56" i="8"/>
  <c r="J57" i="16" s="1"/>
  <c r="I57" i="16"/>
  <c r="J36" i="8"/>
  <c r="J37" i="16" s="1"/>
  <c r="I37" i="16"/>
  <c r="J51" i="8"/>
  <c r="J52" i="16" s="1"/>
  <c r="I52" i="16"/>
  <c r="J43" i="8" l="1"/>
  <c r="J44" i="16" s="1"/>
  <c r="J47" i="8"/>
  <c r="J48" i="16" s="1"/>
  <c r="J41" i="8"/>
  <c r="J42" i="16" s="1"/>
  <c r="I46" i="16"/>
  <c r="I34" i="16"/>
  <c r="I54" i="16"/>
  <c r="I49" i="16"/>
  <c r="I32" i="16"/>
  <c r="J26" i="8"/>
  <c r="J27" i="16" s="1"/>
  <c r="I31" i="16"/>
  <c r="I36" i="16"/>
  <c r="I19" i="16"/>
  <c r="I62" i="16"/>
  <c r="Z2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Henson</author>
  </authors>
  <commentList>
    <comment ref="X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Thomas Henson:</t>
        </r>
        <r>
          <rPr>
            <sz val="9"/>
            <color indexed="81"/>
            <rFont val="Tahoma"/>
            <family val="2"/>
          </rPr>
          <t xml:space="preserve">
Unit number</t>
        </r>
      </text>
    </comment>
    <comment ref="S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Thomas Henson:</t>
        </r>
        <r>
          <rPr>
            <sz val="9"/>
            <color indexed="81"/>
            <rFont val="Tahoma"/>
            <family val="2"/>
          </rPr>
          <t xml:space="preserve">
Language number
</t>
        </r>
      </text>
    </comment>
  </commentList>
</comments>
</file>

<file path=xl/sharedStrings.xml><?xml version="1.0" encoding="utf-8"?>
<sst xmlns="http://schemas.openxmlformats.org/spreadsheetml/2006/main" count="418" uniqueCount="237">
  <si>
    <t>Drehzahlstufe:</t>
  </si>
  <si>
    <t>Regelspannung: [V]</t>
  </si>
  <si>
    <t>Heizen:</t>
  </si>
  <si>
    <t>Eingabefelder</t>
  </si>
  <si>
    <t>Temperaturen</t>
  </si>
  <si>
    <t>Auslegungsrandbedingungen</t>
  </si>
  <si>
    <t>Leistungsaufnahme [W]</t>
  </si>
  <si>
    <t>**Schallleistungspegel nach ISO 3741:2010</t>
  </si>
  <si>
    <t>***Schalldruckpegel bei angenommener Raumdämpfung von 8dB(A)</t>
  </si>
  <si>
    <t>Schalldruckpegel *** [dB(A)]</t>
  </si>
  <si>
    <t>Kühlen:</t>
  </si>
  <si>
    <t>n-value</t>
  </si>
  <si>
    <t>Verwarmen:</t>
  </si>
  <si>
    <t>Koelen:</t>
  </si>
  <si>
    <t>Stuurspanning: [V]</t>
  </si>
  <si>
    <t>Geluidsdruk *** [dB(A)]</t>
  </si>
  <si>
    <t>Opgenomen elektr. vermogen [W]</t>
  </si>
  <si>
    <t>Snelheidsniveau:</t>
  </si>
  <si>
    <t>Randvoorwaarden</t>
  </si>
  <si>
    <t>Invulformulier</t>
  </si>
  <si>
    <t>**Geluidsvermogen gemeten volgens ISO 3741:2010</t>
  </si>
  <si>
    <t>***Geluidsdruk bij een aangenomen ruimtedemping van 8 dB(A)</t>
  </si>
  <si>
    <t>Temperatures</t>
  </si>
  <si>
    <t>Heating:</t>
  </si>
  <si>
    <t>Cooling:</t>
  </si>
  <si>
    <t>Speed level:</t>
  </si>
  <si>
    <t>Control voltage [V]</t>
  </si>
  <si>
    <t>Sound pressure *** [dB(A)]</t>
  </si>
  <si>
    <t>Electrical power [W]</t>
  </si>
  <si>
    <t>**Sound power according to ISO 3741:2010</t>
  </si>
  <si>
    <t>***Sound pressure with an assumed room damping of 8dB(A)</t>
  </si>
  <si>
    <t>Conditions</t>
  </si>
  <si>
    <t>Niveau de vitesse</t>
  </si>
  <si>
    <t>Formulary</t>
  </si>
  <si>
    <t>Formulaire</t>
  </si>
  <si>
    <t>Voltage [V]</t>
  </si>
  <si>
    <t>Refroidir:</t>
  </si>
  <si>
    <t>Pression sonore *** [dB(A)]</t>
  </si>
  <si>
    <t>Puissance absorbée [W]</t>
  </si>
  <si>
    <t>Puissance sonore ** [dB(A)]</t>
  </si>
  <si>
    <t>**Puissance sonore testé selon ISO 3741:2010</t>
  </si>
  <si>
    <t>***Pression sonore avec une atténuation ambiante du 8dB(A)</t>
  </si>
  <si>
    <t>Geluidsvermogen ** [dB(A)]</t>
  </si>
  <si>
    <t>Sound power ** [dB(A)]</t>
  </si>
  <si>
    <t>Schallleistungspegel ** [dB(A)]</t>
  </si>
  <si>
    <t>Températures</t>
  </si>
  <si>
    <t>Chauffer:</t>
  </si>
  <si>
    <t>Q_verw</t>
  </si>
  <si>
    <t>dP_verw</t>
  </si>
  <si>
    <t>a</t>
  </si>
  <si>
    <t>b</t>
  </si>
  <si>
    <t>Temp</t>
  </si>
  <si>
    <t>Q_voelb_c</t>
  </si>
  <si>
    <t>dP_cool</t>
  </si>
  <si>
    <t>Geluid_P</t>
  </si>
  <si>
    <t>P_elek</t>
  </si>
  <si>
    <t>V_air</t>
  </si>
  <si>
    <t>*Waardes gemeten volgens EN 16430</t>
  </si>
  <si>
    <t>*Values according to EN 16430</t>
  </si>
  <si>
    <t>*Leistungsangaben nach EN 16430</t>
  </si>
  <si>
    <t>*Testé selon EN 16430</t>
  </si>
  <si>
    <t>H</t>
  </si>
  <si>
    <t>B</t>
  </si>
  <si>
    <t>L</t>
  </si>
  <si>
    <t>n- heating</t>
  </si>
  <si>
    <t>n- cooling</t>
  </si>
  <si>
    <t>p_atm</t>
  </si>
  <si>
    <t>voelbare koelcapaciteit</t>
  </si>
  <si>
    <t>totale koelcapaciteit</t>
  </si>
  <si>
    <t>CF,h</t>
  </si>
  <si>
    <t>CF,c</t>
  </si>
  <si>
    <t>Clima H10 B18</t>
  </si>
  <si>
    <t>Clima H13 B32 2P</t>
  </si>
  <si>
    <t>Clima H13 B32 4P</t>
  </si>
  <si>
    <t>Clima H19 B34 2P</t>
  </si>
  <si>
    <t>Clima H19 B34 4P</t>
  </si>
  <si>
    <t>h[mm]</t>
  </si>
  <si>
    <t>cf_h</t>
  </si>
  <si>
    <t>Norsk</t>
  </si>
  <si>
    <t>Français</t>
  </si>
  <si>
    <t>Deutsch</t>
  </si>
  <si>
    <t>English</t>
  </si>
  <si>
    <t>Nederlands</t>
  </si>
  <si>
    <t>Hastighet:</t>
  </si>
  <si>
    <t>Styresignal[V]</t>
  </si>
  <si>
    <t>Lydtrykk *** [dB(A)]</t>
  </si>
  <si>
    <t>Lydeffekt ** [dB(A)]</t>
  </si>
  <si>
    <t>Elektrisk effekt [W]</t>
  </si>
  <si>
    <t>Tur vanntemp.</t>
  </si>
  <si>
    <t>Retur vanntemp.</t>
  </si>
  <si>
    <t>Rom temp.</t>
  </si>
  <si>
    <t>Temperaturer</t>
  </si>
  <si>
    <t>Varme:</t>
  </si>
  <si>
    <t>Kjøling:</t>
  </si>
  <si>
    <t>Modell</t>
  </si>
  <si>
    <t>Temp.</t>
  </si>
  <si>
    <t>verw.!</t>
  </si>
  <si>
    <t>koelen!</t>
  </si>
  <si>
    <t>heating!</t>
  </si>
  <si>
    <t>cooling!</t>
  </si>
  <si>
    <t>heizen!</t>
  </si>
  <si>
    <t>kühlen!</t>
  </si>
  <si>
    <t>chauf.!</t>
  </si>
  <si>
    <t>refr.!</t>
  </si>
  <si>
    <t>varme!</t>
  </si>
  <si>
    <t>kjøling!</t>
  </si>
  <si>
    <t>Clima H13 B27 4P</t>
  </si>
  <si>
    <t>Eenheidsstelsel</t>
  </si>
  <si>
    <t>Unit conversion</t>
  </si>
  <si>
    <t>Einheiten</t>
  </si>
  <si>
    <t>Système unitaire</t>
  </si>
  <si>
    <t>Enhetssystem</t>
  </si>
  <si>
    <t>Nivel de velocidad:</t>
  </si>
  <si>
    <t xml:space="preserve"> Voltaje control [V]</t>
  </si>
  <si>
    <t>Presión sonora *** [dB(A)]</t>
  </si>
  <si>
    <t>Potencia sonora ** [dB(A)]</t>
  </si>
  <si>
    <t>Potencia eléctrica absorbida [W]</t>
  </si>
  <si>
    <t>Convers. de unidades</t>
  </si>
  <si>
    <t>calefac.</t>
  </si>
  <si>
    <t>enfria.</t>
  </si>
  <si>
    <t>altura</t>
  </si>
  <si>
    <t>ancho</t>
  </si>
  <si>
    <t>longitud</t>
  </si>
  <si>
    <t>høyde</t>
  </si>
  <si>
    <t>bredde</t>
  </si>
  <si>
    <t>lengde</t>
  </si>
  <si>
    <t>hauteur</t>
  </si>
  <si>
    <t>largeur</t>
  </si>
  <si>
    <t>longueur</t>
  </si>
  <si>
    <t>höhe</t>
  </si>
  <si>
    <t>breite</t>
  </si>
  <si>
    <t>länge</t>
  </si>
  <si>
    <t>height</t>
  </si>
  <si>
    <t>width</t>
  </si>
  <si>
    <t>length</t>
  </si>
  <si>
    <t>hoogte</t>
  </si>
  <si>
    <t>breedte</t>
  </si>
  <si>
    <t>lengte</t>
  </si>
  <si>
    <t>Geplaatste hoogte</t>
  </si>
  <si>
    <t>Altitude</t>
  </si>
  <si>
    <t>Platzierte Höhe</t>
  </si>
  <si>
    <t>Hauteur placée</t>
  </si>
  <si>
    <t>Plassert høyde</t>
  </si>
  <si>
    <t>Altitud</t>
  </si>
  <si>
    <t>Model</t>
  </si>
  <si>
    <t>Español</t>
  </si>
  <si>
    <t>Relatieve vochtigheid</t>
  </si>
  <si>
    <t>Relative humidity</t>
  </si>
  <si>
    <t>Relative Luftfeuchtigkeit</t>
  </si>
  <si>
    <t>Humidité relative</t>
  </si>
  <si>
    <t>Relativ fuktighet</t>
  </si>
  <si>
    <t>Humedad relativa</t>
  </si>
  <si>
    <t>Temperaturas</t>
  </si>
  <si>
    <t>Calefacción:</t>
  </si>
  <si>
    <t>Agua impulsión</t>
  </si>
  <si>
    <t>Agua retorno</t>
  </si>
  <si>
    <t>Ambiente (bulbo seco)</t>
  </si>
  <si>
    <t>Enfriamiento:</t>
  </si>
  <si>
    <t>Taal/Language/Sprache</t>
  </si>
  <si>
    <t>*La potencia de enfriamiento se calcula según la norma EN 16430 con ventiladores de todas las alturas.</t>
  </si>
  <si>
    <t>**Potencia sonora según ISO 3741: 2010.</t>
  </si>
  <si>
    <t>***Nivel de presión acústica con una amortiguación ambiental supuesta de 8 dB (A).</t>
  </si>
  <si>
    <t>Kopieer alle data</t>
  </si>
  <si>
    <t>SI-eenheden</t>
  </si>
  <si>
    <t>Imperiale-eenheden</t>
  </si>
  <si>
    <t>Copy all data</t>
  </si>
  <si>
    <t>SI-units</t>
  </si>
  <si>
    <t>Imperial-units</t>
  </si>
  <si>
    <t>Kopieren Sie alle daten</t>
  </si>
  <si>
    <t>SI-einheiten</t>
  </si>
  <si>
    <t>Imperiale-einheiten</t>
  </si>
  <si>
    <t>Copier toutes des données</t>
  </si>
  <si>
    <t>Unités-SI</t>
  </si>
  <si>
    <t>Unités-Impériales</t>
  </si>
  <si>
    <t>Kopier alle data</t>
  </si>
  <si>
    <t>SI-enheter</t>
  </si>
  <si>
    <t>Imperiale-enheter</t>
  </si>
  <si>
    <t>Copiar todos los datos</t>
  </si>
  <si>
    <t>Unidades-SI</t>
  </si>
  <si>
    <t>Unidades-Imperial</t>
  </si>
  <si>
    <t>Höjd över havet</t>
  </si>
  <si>
    <t>Värme:</t>
  </si>
  <si>
    <t>Tillopp</t>
  </si>
  <si>
    <t>Retur</t>
  </si>
  <si>
    <t>Rum (torr)</t>
  </si>
  <si>
    <t>Kyla:</t>
  </si>
  <si>
    <t>rel. Fuktighet</t>
  </si>
  <si>
    <t>Fläkthastighet</t>
  </si>
  <si>
    <t>Spänning, Fläkt [V]</t>
  </si>
  <si>
    <t>Ljudtryck *** [dB(A)]</t>
  </si>
  <si>
    <t>Ljudeffekt ** [dB(A)]</t>
  </si>
  <si>
    <t>Effektförbrukning [W]</t>
  </si>
  <si>
    <t>värme!</t>
  </si>
  <si>
    <t>kyla!</t>
  </si>
  <si>
    <t>höjd</t>
  </si>
  <si>
    <t>djup</t>
  </si>
  <si>
    <t>längd</t>
  </si>
  <si>
    <t>**Ljudeffekt enligt ISO 3741: 2010</t>
  </si>
  <si>
    <t>***Ljudtryck med en antagen rumsdämpning på 8dB (A),</t>
  </si>
  <si>
    <t>*Värden enligt EN16430</t>
  </si>
  <si>
    <t>Kopírovat všechna data</t>
  </si>
  <si>
    <t>Mezinárodní (Sl)</t>
  </si>
  <si>
    <t>Imperiální</t>
  </si>
  <si>
    <t>Kopiera all data</t>
  </si>
  <si>
    <t>Imperiella-enheter</t>
  </si>
  <si>
    <t>Teploty</t>
  </si>
  <si>
    <t>topení!</t>
  </si>
  <si>
    <t>chlazení!</t>
  </si>
  <si>
    <t>Akustický tlak *** [dB(A)]</t>
  </si>
  <si>
    <t>Akustický výkon ** [dB(A)]</t>
  </si>
  <si>
    <t>Elektrický výkon [W]</t>
  </si>
  <si>
    <t>Rychlost</t>
  </si>
  <si>
    <t>Ovládací napětí [V]</t>
  </si>
  <si>
    <t>*Hodnoty podle EN16430</t>
  </si>
  <si>
    <t>**Akustický tlak podle ISO 3741:2010</t>
  </si>
  <si>
    <t>***Akustický výkon s předpokládaným útlumem místnosti 8 dB (A).</t>
  </si>
  <si>
    <t>Svenska</t>
  </si>
  <si>
    <t>Čeština</t>
  </si>
  <si>
    <t>ExtraTaal1</t>
  </si>
  <si>
    <t>ExtraTaal2</t>
  </si>
  <si>
    <t>ExtraTaal3</t>
  </si>
  <si>
    <t>Topení:</t>
  </si>
  <si>
    <t>Voda na přívodu</t>
  </si>
  <si>
    <t>Voda na zpátečce</t>
  </si>
  <si>
    <t>Chlazení:</t>
  </si>
  <si>
    <t>Relativní vlhkost</t>
  </si>
  <si>
    <t>Převod jednotek</t>
  </si>
  <si>
    <t>Výška umístění</t>
  </si>
  <si>
    <t>Langue/Språk/Lengua/Jazyk</t>
  </si>
  <si>
    <t>"Suchá" Teplota vzduchu</t>
  </si>
  <si>
    <t>Výška</t>
  </si>
  <si>
    <t>Délka</t>
  </si>
  <si>
    <t>Šířka</t>
  </si>
  <si>
    <t>Freedom</t>
  </si>
  <si>
    <t>Selectiontool Freedom</t>
  </si>
  <si>
    <t>v2022-08-26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</si>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</sst>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0.000"/>
    <numFmt numFmtId="167" formatCode="0.0%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7" tint="0.79998168889431442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5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7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rgb="FF305496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5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Up"/>
    </fill>
    <fill>
      <patternFill patternType="solid">
        <fgColor rgb="FFE0E0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lightUp">
        <bgColor rgb="FF7030A0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0" tint="-0.34998626667073579"/>
      </right>
      <top/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hair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auto="1"/>
      </bottom>
      <diagonal/>
    </border>
    <border>
      <left/>
      <right style="double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</borders>
  <cellStyleXfs count="2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37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0" fontId="2" fillId="2" borderId="0" xfId="0" applyFont="1" applyFill="1"/>
    <xf numFmtId="0" fontId="0" fillId="3" borderId="0" xfId="0" applyFill="1"/>
    <xf numFmtId="0" fontId="1" fillId="3" borderId="0" xfId="0" applyFont="1" applyFill="1"/>
    <xf numFmtId="0" fontId="1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1" fillId="3" borderId="5" xfId="0" applyFont="1" applyFill="1" applyBorder="1"/>
    <xf numFmtId="0" fontId="0" fillId="3" borderId="6" xfId="0" applyFill="1" applyBorder="1"/>
    <xf numFmtId="0" fontId="0" fillId="3" borderId="5" xfId="0" applyFill="1" applyBorder="1"/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0" fillId="3" borderId="8" xfId="0" applyFill="1" applyBorder="1"/>
    <xf numFmtId="0" fontId="0" fillId="3" borderId="9" xfId="0" applyFill="1" applyBorder="1"/>
    <xf numFmtId="0" fontId="1" fillId="3" borderId="0" xfId="0" applyFont="1" applyFill="1" applyAlignment="1">
      <alignment horizontal="center" vertical="center" textRotation="90" wrapText="1"/>
    </xf>
    <xf numFmtId="0" fontId="3" fillId="3" borderId="0" xfId="0" applyFont="1" applyFill="1" applyAlignment="1">
      <alignment horizontal="center" vertical="center" textRotation="90" wrapText="1"/>
    </xf>
    <xf numFmtId="0" fontId="1" fillId="2" borderId="0" xfId="0" applyFont="1" applyFill="1"/>
    <xf numFmtId="49" fontId="7" fillId="4" borderId="10" xfId="0" applyNumberFormat="1" applyFont="1" applyFill="1" applyBorder="1"/>
    <xf numFmtId="0" fontId="8" fillId="4" borderId="1" xfId="0" applyFont="1" applyFill="1" applyBorder="1" applyAlignment="1">
      <alignment horizontal="left"/>
    </xf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textRotation="90" wrapText="1"/>
    </xf>
    <xf numFmtId="1" fontId="0" fillId="2" borderId="5" xfId="0" applyNumberFormat="1" applyFill="1" applyBorder="1" applyAlignment="1">
      <alignment horizontal="center" vertical="center"/>
    </xf>
    <xf numFmtId="0" fontId="6" fillId="2" borderId="0" xfId="0" applyFont="1" applyFill="1"/>
    <xf numFmtId="0" fontId="1" fillId="3" borderId="3" xfId="0" applyFont="1" applyFill="1" applyBorder="1" applyAlignment="1">
      <alignment horizontal="center" vertical="center" textRotation="90" wrapText="1"/>
    </xf>
    <xf numFmtId="2" fontId="0" fillId="2" borderId="6" xfId="0" applyNumberForma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9" fontId="0" fillId="2" borderId="5" xfId="0" applyNumberFormat="1" applyFill="1" applyBorder="1"/>
    <xf numFmtId="0" fontId="9" fillId="2" borderId="6" xfId="0" applyFont="1" applyFill="1" applyBorder="1" applyAlignment="1">
      <alignment horizontal="center" vertical="center"/>
    </xf>
    <xf numFmtId="9" fontId="0" fillId="2" borderId="14" xfId="0" applyNumberFormat="1" applyFill="1" applyBorder="1"/>
    <xf numFmtId="0" fontId="0" fillId="2" borderId="15" xfId="0" applyFill="1" applyBorder="1" applyAlignment="1">
      <alignment horizontal="center" vertical="center"/>
    </xf>
    <xf numFmtId="1" fontId="0" fillId="2" borderId="14" xfId="0" applyNumberFormat="1" applyFill="1" applyBorder="1" applyAlignment="1">
      <alignment horizontal="center" vertical="center"/>
    </xf>
    <xf numFmtId="1" fontId="0" fillId="2" borderId="15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1" fontId="0" fillId="2" borderId="16" xfId="0" applyNumberFormat="1" applyFill="1" applyBorder="1" applyAlignment="1">
      <alignment horizontal="center" vertical="center"/>
    </xf>
    <xf numFmtId="9" fontId="0" fillId="4" borderId="1" xfId="0" applyNumberForma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right"/>
    </xf>
    <xf numFmtId="164" fontId="9" fillId="2" borderId="0" xfId="0" applyNumberFormat="1" applyFont="1" applyFill="1" applyAlignment="1">
      <alignment horizontal="center" vertical="center"/>
    </xf>
    <xf numFmtId="0" fontId="0" fillId="2" borderId="17" xfId="0" applyFill="1" applyBorder="1"/>
    <xf numFmtId="0" fontId="0" fillId="3" borderId="0" xfId="0" applyFill="1" applyAlignment="1">
      <alignment horizontal="left"/>
    </xf>
    <xf numFmtId="0" fontId="0" fillId="2" borderId="0" xfId="0" applyFill="1" applyProtection="1">
      <protection locked="0"/>
    </xf>
    <xf numFmtId="9" fontId="0" fillId="4" borderId="1" xfId="0" applyNumberFormat="1" applyFill="1" applyBorder="1" applyAlignment="1">
      <alignment horizontal="center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0" fontId="15" fillId="2" borderId="0" xfId="0" applyFont="1" applyFill="1" applyProtection="1">
      <protection locked="0"/>
    </xf>
    <xf numFmtId="0" fontId="2" fillId="2" borderId="20" xfId="0" applyFont="1" applyFill="1" applyBorder="1" applyAlignment="1" applyProtection="1">
      <alignment horizontal="center" vertical="center" textRotation="255"/>
      <protection locked="0"/>
    </xf>
    <xf numFmtId="0" fontId="2" fillId="2" borderId="21" xfId="0" applyFont="1" applyFill="1" applyBorder="1" applyAlignment="1" applyProtection="1">
      <alignment horizontal="center" vertical="center" textRotation="255"/>
      <protection locked="0"/>
    </xf>
    <xf numFmtId="0" fontId="2" fillId="2" borderId="22" xfId="0" applyFont="1" applyFill="1" applyBorder="1" applyAlignment="1" applyProtection="1">
      <alignment horizontal="center" vertical="center" textRotation="255"/>
      <protection locked="0"/>
    </xf>
    <xf numFmtId="164" fontId="0" fillId="2" borderId="5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>
      <alignment horizontal="center"/>
    </xf>
    <xf numFmtId="0" fontId="9" fillId="2" borderId="8" xfId="0" applyFont="1" applyFill="1" applyBorder="1"/>
    <xf numFmtId="1" fontId="9" fillId="2" borderId="6" xfId="0" applyNumberFormat="1" applyFont="1" applyFill="1" applyBorder="1" applyAlignment="1">
      <alignment horizontal="center" vertical="center"/>
    </xf>
    <xf numFmtId="1" fontId="9" fillId="2" borderId="16" xfId="0" applyNumberFormat="1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/>
      <protection locked="0"/>
    </xf>
    <xf numFmtId="0" fontId="15" fillId="2" borderId="23" xfId="0" applyFont="1" applyFill="1" applyBorder="1" applyAlignment="1" applyProtection="1">
      <alignment horizontal="center" vertical="center"/>
      <protection locked="0"/>
    </xf>
    <xf numFmtId="0" fontId="15" fillId="5" borderId="1" xfId="0" applyFont="1" applyFill="1" applyBorder="1" applyAlignment="1" applyProtection="1">
      <alignment horizontal="center" vertical="center"/>
      <protection locked="0"/>
    </xf>
    <xf numFmtId="0" fontId="15" fillId="2" borderId="29" xfId="0" applyFont="1" applyFill="1" applyBorder="1" applyAlignment="1" applyProtection="1">
      <alignment horizontal="center" vertical="center"/>
      <protection locked="0"/>
    </xf>
    <xf numFmtId="164" fontId="15" fillId="2" borderId="29" xfId="0" applyNumberFormat="1" applyFont="1" applyFill="1" applyBorder="1" applyAlignment="1" applyProtection="1">
      <alignment horizontal="center" vertical="center"/>
      <protection locked="0"/>
    </xf>
    <xf numFmtId="0" fontId="15" fillId="2" borderId="27" xfId="0" applyFont="1" applyFill="1" applyBorder="1" applyAlignment="1" applyProtection="1">
      <alignment horizontal="center" vertical="center"/>
      <protection locked="0"/>
    </xf>
    <xf numFmtId="0" fontId="15" fillId="2" borderId="24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164" fontId="15" fillId="2" borderId="0" xfId="0" applyNumberFormat="1" applyFont="1" applyFill="1" applyAlignment="1" applyProtection="1">
      <alignment horizontal="center" vertical="center"/>
      <protection locked="0"/>
    </xf>
    <xf numFmtId="0" fontId="15" fillId="2" borderId="25" xfId="0" applyFont="1" applyFill="1" applyBorder="1" applyAlignment="1" applyProtection="1">
      <alignment horizontal="center" vertical="center"/>
      <protection locked="0"/>
    </xf>
    <xf numFmtId="0" fontId="15" fillId="2" borderId="26" xfId="0" applyFont="1" applyFill="1" applyBorder="1" applyAlignment="1" applyProtection="1">
      <alignment horizontal="center" vertical="center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15" fillId="2" borderId="30" xfId="0" applyFont="1" applyFill="1" applyBorder="1" applyAlignment="1" applyProtection="1">
      <alignment horizontal="center" vertical="center"/>
      <protection locked="0"/>
    </xf>
    <xf numFmtId="164" fontId="15" fillId="2" borderId="30" xfId="0" applyNumberFormat="1" applyFont="1" applyFill="1" applyBorder="1" applyAlignment="1" applyProtection="1">
      <alignment horizontal="center" vertical="center"/>
      <protection locked="0"/>
    </xf>
    <xf numFmtId="0" fontId="15" fillId="2" borderId="28" xfId="0" applyFon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6" fillId="2" borderId="27" xfId="0" applyFont="1" applyFill="1" applyBorder="1" applyAlignment="1" applyProtection="1">
      <alignment horizontal="center" vertical="center"/>
      <protection locked="0"/>
    </xf>
    <xf numFmtId="0" fontId="16" fillId="7" borderId="1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textRotation="255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/>
    <xf numFmtId="165" fontId="18" fillId="2" borderId="8" xfId="0" applyNumberFormat="1" applyFont="1" applyFill="1" applyBorder="1" applyAlignment="1">
      <alignment horizontal="center"/>
    </xf>
    <xf numFmtId="0" fontId="18" fillId="2" borderId="8" xfId="0" applyFont="1" applyFill="1" applyBorder="1"/>
    <xf numFmtId="0" fontId="19" fillId="2" borderId="1" xfId="0" applyFont="1" applyFill="1" applyBorder="1" applyAlignment="1" applyProtection="1">
      <alignment horizontal="center" vertical="center" textRotation="255" wrapText="1"/>
      <protection locked="0"/>
    </xf>
    <xf numFmtId="0" fontId="0" fillId="2" borderId="0" xfId="0" applyFill="1" applyProtection="1">
      <protection hidden="1"/>
    </xf>
    <xf numFmtId="0" fontId="6" fillId="2" borderId="0" xfId="0" applyFont="1" applyFill="1" applyProtection="1">
      <protection hidden="1"/>
    </xf>
    <xf numFmtId="0" fontId="1" fillId="3" borderId="2" xfId="0" applyFont="1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0" fillId="3" borderId="0" xfId="0" applyFill="1" applyProtection="1">
      <protection hidden="1"/>
    </xf>
    <xf numFmtId="0" fontId="1" fillId="3" borderId="0" xfId="0" applyFont="1" applyFill="1" applyProtection="1">
      <protection hidden="1"/>
    </xf>
    <xf numFmtId="0" fontId="0" fillId="3" borderId="0" xfId="0" applyFill="1" applyAlignment="1" applyProtection="1">
      <alignment horizontal="left"/>
      <protection hidden="1"/>
    </xf>
    <xf numFmtId="0" fontId="0" fillId="3" borderId="5" xfId="0" applyFill="1" applyBorder="1" applyProtection="1">
      <protection hidden="1"/>
    </xf>
    <xf numFmtId="0" fontId="1" fillId="3" borderId="7" xfId="0" applyFont="1" applyFill="1" applyBorder="1" applyAlignment="1" applyProtection="1">
      <alignment horizontal="left"/>
      <protection hidden="1"/>
    </xf>
    <xf numFmtId="0" fontId="1" fillId="3" borderId="8" xfId="0" applyFont="1" applyFill="1" applyBorder="1" applyAlignment="1" applyProtection="1">
      <alignment horizontal="left"/>
      <protection hidden="1"/>
    </xf>
    <xf numFmtId="0" fontId="0" fillId="3" borderId="8" xfId="0" applyFill="1" applyBorder="1" applyProtection="1">
      <protection hidden="1"/>
    </xf>
    <xf numFmtId="0" fontId="9" fillId="2" borderId="8" xfId="0" applyFont="1" applyFill="1" applyBorder="1" applyProtection="1">
      <protection hidden="1"/>
    </xf>
    <xf numFmtId="165" fontId="17" fillId="2" borderId="8" xfId="0" applyNumberFormat="1" applyFont="1" applyFill="1" applyBorder="1" applyAlignment="1" applyProtection="1">
      <alignment horizontal="center"/>
      <protection hidden="1"/>
    </xf>
    <xf numFmtId="0" fontId="17" fillId="2" borderId="8" xfId="0" applyFont="1" applyFill="1" applyBorder="1" applyProtection="1">
      <protection hidden="1"/>
    </xf>
    <xf numFmtId="0" fontId="0" fillId="2" borderId="0" xfId="0" applyFill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 textRotation="255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9" fontId="0" fillId="2" borderId="5" xfId="0" applyNumberFormat="1" applyFill="1" applyBorder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2" fillId="2" borderId="0" xfId="0" applyFont="1" applyFill="1" applyProtection="1">
      <protection hidden="1"/>
    </xf>
    <xf numFmtId="166" fontId="0" fillId="2" borderId="1" xfId="0" applyNumberFormat="1" applyFill="1" applyBorder="1"/>
    <xf numFmtId="0" fontId="0" fillId="2" borderId="1" xfId="0" applyFill="1" applyBorder="1"/>
    <xf numFmtId="0" fontId="0" fillId="8" borderId="0" xfId="0" applyFill="1"/>
    <xf numFmtId="0" fontId="0" fillId="8" borderId="0" xfId="0" applyFill="1" applyProtection="1">
      <protection locked="0"/>
    </xf>
    <xf numFmtId="0" fontId="0" fillId="2" borderId="31" xfId="0" applyFill="1" applyBorder="1"/>
    <xf numFmtId="0" fontId="15" fillId="2" borderId="23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164" fontId="15" fillId="2" borderId="29" xfId="0" applyNumberFormat="1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4" fontId="15" fillId="2" borderId="0" xfId="0" applyNumberFormat="1" applyFont="1" applyFill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5" borderId="30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164" fontId="15" fillId="2" borderId="30" xfId="0" applyNumberFormat="1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0" fillId="9" borderId="0" xfId="0" applyFill="1" applyProtection="1">
      <protection locked="0"/>
    </xf>
    <xf numFmtId="0" fontId="0" fillId="10" borderId="0" xfId="0" applyFill="1" applyProtection="1">
      <protection locked="0"/>
    </xf>
    <xf numFmtId="1" fontId="2" fillId="2" borderId="29" xfId="0" applyNumberFormat="1" applyFont="1" applyFill="1" applyBorder="1" applyAlignment="1">
      <alignment horizontal="center" vertical="center"/>
    </xf>
    <xf numFmtId="0" fontId="20" fillId="3" borderId="5" xfId="0" applyFont="1" applyFill="1" applyBorder="1" applyProtection="1">
      <protection hidden="1"/>
    </xf>
    <xf numFmtId="0" fontId="20" fillId="3" borderId="0" xfId="0" applyFont="1" applyFill="1" applyProtection="1">
      <protection hidden="1"/>
    </xf>
    <xf numFmtId="1" fontId="0" fillId="4" borderId="10" xfId="0" applyNumberFormat="1" applyFill="1" applyBorder="1" applyAlignment="1" applyProtection="1">
      <alignment horizontal="center"/>
      <protection locked="0"/>
    </xf>
    <xf numFmtId="9" fontId="0" fillId="4" borderId="10" xfId="0" applyNumberFormat="1" applyFill="1" applyBorder="1" applyAlignment="1" applyProtection="1">
      <alignment horizontal="center"/>
      <protection locked="0"/>
    </xf>
    <xf numFmtId="0" fontId="0" fillId="2" borderId="31" xfId="0" applyFill="1" applyBorder="1" applyProtection="1">
      <protection locked="0"/>
    </xf>
    <xf numFmtId="0" fontId="1" fillId="3" borderId="2" xfId="0" applyFont="1" applyFill="1" applyBorder="1" applyAlignment="1" applyProtection="1">
      <alignment horizontal="center" vertical="center" textRotation="90" wrapText="1"/>
      <protection hidden="1"/>
    </xf>
    <xf numFmtId="0" fontId="1" fillId="3" borderId="0" xfId="0" applyFont="1" applyFill="1" applyAlignment="1" applyProtection="1">
      <alignment horizontal="center" vertical="center" textRotation="90" wrapText="1"/>
      <protection hidden="1"/>
    </xf>
    <xf numFmtId="0" fontId="1" fillId="3" borderId="3" xfId="0" applyFont="1" applyFill="1" applyBorder="1" applyAlignment="1" applyProtection="1">
      <alignment horizontal="center" vertical="center" textRotation="90" wrapText="1"/>
      <protection hidden="1"/>
    </xf>
    <xf numFmtId="0" fontId="1" fillId="3" borderId="4" xfId="0" applyFont="1" applyFill="1" applyBorder="1" applyAlignment="1" applyProtection="1">
      <alignment horizontal="center" vertical="center" textRotation="90" wrapText="1"/>
      <protection hidden="1"/>
    </xf>
    <xf numFmtId="0" fontId="1" fillId="3" borderId="6" xfId="0" applyFont="1" applyFill="1" applyBorder="1" applyAlignment="1" applyProtection="1">
      <alignment horizontal="center" vertical="center" textRotation="90" wrapText="1"/>
      <protection hidden="1"/>
    </xf>
    <xf numFmtId="0" fontId="1" fillId="3" borderId="5" xfId="0" applyFont="1" applyFill="1" applyBorder="1" applyProtection="1">
      <protection hidden="1"/>
    </xf>
    <xf numFmtId="0" fontId="8" fillId="4" borderId="18" xfId="0" applyFont="1" applyFill="1" applyBorder="1" applyAlignment="1" applyProtection="1">
      <alignment horizontal="left"/>
      <protection hidden="1"/>
    </xf>
    <xf numFmtId="0" fontId="22" fillId="2" borderId="0" xfId="0" applyFont="1" applyFill="1" applyProtection="1">
      <protection hidden="1"/>
    </xf>
    <xf numFmtId="0" fontId="23" fillId="2" borderId="0" xfId="0" applyFont="1" applyFill="1" applyAlignment="1" applyProtection="1">
      <alignment horizontal="center" vertical="center"/>
      <protection hidden="1"/>
    </xf>
    <xf numFmtId="1" fontId="22" fillId="2" borderId="5" xfId="0" applyNumberFormat="1" applyFont="1" applyFill="1" applyBorder="1" applyAlignment="1" applyProtection="1">
      <alignment horizontal="center" vertical="center"/>
      <protection hidden="1"/>
    </xf>
    <xf numFmtId="0" fontId="22" fillId="2" borderId="0" xfId="0" applyFont="1" applyFill="1" applyAlignment="1" applyProtection="1">
      <alignment horizontal="center" vertical="center"/>
      <protection hidden="1"/>
    </xf>
    <xf numFmtId="2" fontId="22" fillId="2" borderId="6" xfId="0" applyNumberFormat="1" applyFont="1" applyFill="1" applyBorder="1" applyAlignment="1" applyProtection="1">
      <alignment horizontal="center" vertical="center"/>
      <protection hidden="1"/>
    </xf>
    <xf numFmtId="1" fontId="22" fillId="2" borderId="0" xfId="0" applyNumberFormat="1" applyFont="1" applyFill="1" applyAlignment="1" applyProtection="1">
      <alignment horizontal="center" vertical="center"/>
      <protection hidden="1"/>
    </xf>
    <xf numFmtId="2" fontId="22" fillId="2" borderId="0" xfId="0" applyNumberFormat="1" applyFont="1" applyFill="1" applyAlignment="1" applyProtection="1">
      <alignment horizontal="center" vertical="center"/>
      <protection hidden="1"/>
    </xf>
    <xf numFmtId="164" fontId="22" fillId="2" borderId="5" xfId="0" applyNumberFormat="1" applyFont="1" applyFill="1" applyBorder="1" applyAlignment="1" applyProtection="1">
      <alignment horizontal="center" vertical="center"/>
      <protection hidden="1"/>
    </xf>
    <xf numFmtId="164" fontId="22" fillId="2" borderId="6" xfId="0" applyNumberFormat="1" applyFont="1" applyFill="1" applyBorder="1" applyAlignment="1" applyProtection="1">
      <alignment horizontal="center" vertical="center"/>
      <protection hidden="1"/>
    </xf>
    <xf numFmtId="164" fontId="22" fillId="2" borderId="0" xfId="0" applyNumberFormat="1" applyFont="1" applyFill="1" applyAlignment="1" applyProtection="1">
      <alignment horizontal="center" vertical="center"/>
      <protection hidden="1"/>
    </xf>
    <xf numFmtId="1" fontId="22" fillId="2" borderId="6" xfId="0" applyNumberFormat="1" applyFont="1" applyFill="1" applyBorder="1" applyAlignment="1" applyProtection="1">
      <alignment horizontal="center" vertical="center"/>
      <protection hidden="1"/>
    </xf>
    <xf numFmtId="0" fontId="24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/>
      <protection hidden="1"/>
    </xf>
    <xf numFmtId="167" fontId="0" fillId="2" borderId="0" xfId="23" applyNumberFormat="1" applyFont="1" applyFill="1" applyProtection="1">
      <protection hidden="1"/>
    </xf>
    <xf numFmtId="0" fontId="0" fillId="12" borderId="0" xfId="0" applyFill="1" applyProtection="1">
      <protection locked="0"/>
    </xf>
    <xf numFmtId="0" fontId="15" fillId="12" borderId="0" xfId="0" applyFont="1" applyFill="1"/>
    <xf numFmtId="0" fontId="15" fillId="12" borderId="23" xfId="0" applyFont="1" applyFill="1" applyBorder="1" applyAlignment="1" applyProtection="1">
      <alignment horizontal="center" vertical="center"/>
      <protection locked="0"/>
    </xf>
    <xf numFmtId="0" fontId="15" fillId="12" borderId="1" xfId="0" applyFont="1" applyFill="1" applyBorder="1" applyAlignment="1" applyProtection="1">
      <alignment horizontal="center" vertical="center"/>
      <protection locked="0"/>
    </xf>
    <xf numFmtId="0" fontId="15" fillId="12" borderId="29" xfId="0" applyFont="1" applyFill="1" applyBorder="1" applyAlignment="1" applyProtection="1">
      <alignment horizontal="center" vertical="center"/>
      <protection locked="0"/>
    </xf>
    <xf numFmtId="164" fontId="15" fillId="12" borderId="29" xfId="0" applyNumberFormat="1" applyFont="1" applyFill="1" applyBorder="1" applyAlignment="1" applyProtection="1">
      <alignment horizontal="center" vertical="center"/>
      <protection locked="0"/>
    </xf>
    <xf numFmtId="0" fontId="15" fillId="12" borderId="27" xfId="0" applyFont="1" applyFill="1" applyBorder="1" applyAlignment="1" applyProtection="1">
      <alignment horizontal="center" vertical="center"/>
      <protection locked="0"/>
    </xf>
    <xf numFmtId="0" fontId="15" fillId="12" borderId="24" xfId="0" applyFont="1" applyFill="1" applyBorder="1" applyAlignment="1" applyProtection="1">
      <alignment horizontal="center" vertical="center"/>
      <protection locked="0"/>
    </xf>
    <xf numFmtId="0" fontId="15" fillId="12" borderId="0" xfId="0" applyFont="1" applyFill="1" applyAlignment="1" applyProtection="1">
      <alignment horizontal="center" vertical="center"/>
      <protection locked="0"/>
    </xf>
    <xf numFmtId="164" fontId="15" fillId="12" borderId="0" xfId="0" applyNumberFormat="1" applyFont="1" applyFill="1" applyAlignment="1" applyProtection="1">
      <alignment horizontal="center" vertical="center"/>
      <protection locked="0"/>
    </xf>
    <xf numFmtId="0" fontId="15" fillId="12" borderId="25" xfId="0" applyFont="1" applyFill="1" applyBorder="1" applyAlignment="1" applyProtection="1">
      <alignment horizontal="center" vertical="center"/>
      <protection locked="0"/>
    </xf>
    <xf numFmtId="0" fontId="15" fillId="12" borderId="26" xfId="0" applyFont="1" applyFill="1" applyBorder="1" applyAlignment="1" applyProtection="1">
      <alignment horizontal="center" vertical="center"/>
      <protection locked="0"/>
    </xf>
    <xf numFmtId="0" fontId="15" fillId="13" borderId="1" xfId="0" applyFont="1" applyFill="1" applyBorder="1" applyAlignment="1" applyProtection="1">
      <alignment horizontal="center" vertical="center"/>
      <protection locked="0"/>
    </xf>
    <xf numFmtId="0" fontId="15" fillId="12" borderId="30" xfId="0" applyFont="1" applyFill="1" applyBorder="1" applyAlignment="1" applyProtection="1">
      <alignment horizontal="center" vertical="center"/>
      <protection locked="0"/>
    </xf>
    <xf numFmtId="164" fontId="15" fillId="12" borderId="30" xfId="0" applyNumberFormat="1" applyFont="1" applyFill="1" applyBorder="1" applyAlignment="1" applyProtection="1">
      <alignment horizontal="center" vertical="center"/>
      <protection locked="0"/>
    </xf>
    <xf numFmtId="0" fontId="15" fillId="12" borderId="28" xfId="0" applyFont="1" applyFill="1" applyBorder="1" applyAlignment="1" applyProtection="1">
      <alignment horizontal="center" vertical="center"/>
      <protection locked="0"/>
    </xf>
    <xf numFmtId="0" fontId="16" fillId="12" borderId="1" xfId="0" applyFont="1" applyFill="1" applyBorder="1" applyAlignment="1" applyProtection="1">
      <alignment horizontal="center" vertical="center"/>
      <protection locked="0"/>
    </xf>
    <xf numFmtId="0" fontId="2" fillId="12" borderId="29" xfId="0" applyFont="1" applyFill="1" applyBorder="1" applyAlignment="1" applyProtection="1">
      <alignment horizontal="center" vertical="center"/>
      <protection locked="0"/>
    </xf>
    <xf numFmtId="0" fontId="16" fillId="12" borderId="27" xfId="0" applyFont="1" applyFill="1" applyBorder="1" applyAlignment="1" applyProtection="1">
      <alignment horizontal="center" vertical="center"/>
      <protection locked="0"/>
    </xf>
    <xf numFmtId="166" fontId="0" fillId="2" borderId="1" xfId="0" applyNumberFormat="1" applyFill="1" applyBorder="1" applyAlignment="1">
      <alignment horizontal="left"/>
    </xf>
    <xf numFmtId="0" fontId="26" fillId="2" borderId="0" xfId="0" applyFont="1" applyFill="1" applyProtection="1">
      <protection hidden="1"/>
    </xf>
    <xf numFmtId="0" fontId="27" fillId="3" borderId="43" xfId="0" applyFont="1" applyFill="1" applyBorder="1" applyAlignment="1" applyProtection="1">
      <alignment horizontal="center" vertical="center" textRotation="90" wrapText="1"/>
      <protection hidden="1"/>
    </xf>
    <xf numFmtId="0" fontId="27" fillId="3" borderId="44" xfId="0" applyFont="1" applyFill="1" applyBorder="1" applyAlignment="1" applyProtection="1">
      <alignment horizontal="center" vertical="center" textRotation="90" wrapText="1"/>
      <protection hidden="1"/>
    </xf>
    <xf numFmtId="0" fontId="0" fillId="2" borderId="0" xfId="0" applyFill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6" fontId="0" fillId="9" borderId="1" xfId="0" applyNumberFormat="1" applyFill="1" applyBorder="1" applyAlignment="1">
      <alignment horizontal="center"/>
    </xf>
    <xf numFmtId="166" fontId="0" fillId="10" borderId="1" xfId="0" applyNumberFormat="1" applyFill="1" applyBorder="1" applyAlignment="1">
      <alignment horizontal="center"/>
    </xf>
    <xf numFmtId="165" fontId="18" fillId="2" borderId="0" xfId="0" applyNumberFormat="1" applyFont="1" applyFill="1" applyAlignment="1">
      <alignment horizontal="center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1" fillId="3" borderId="48" xfId="0" applyFont="1" applyFill="1" applyBorder="1" applyAlignment="1">
      <alignment horizontal="center" vertical="center" textRotation="90" wrapText="1"/>
    </xf>
    <xf numFmtId="0" fontId="1" fillId="3" borderId="49" xfId="0" applyFont="1" applyFill="1" applyBorder="1" applyAlignment="1">
      <alignment horizontal="center" vertical="center" textRotation="90" wrapText="1"/>
    </xf>
    <xf numFmtId="0" fontId="11" fillId="3" borderId="48" xfId="0" applyFont="1" applyFill="1" applyBorder="1" applyAlignment="1">
      <alignment horizontal="center" vertical="center" textRotation="90" wrapText="1"/>
    </xf>
    <xf numFmtId="0" fontId="1" fillId="3" borderId="50" xfId="0" applyFont="1" applyFill="1" applyBorder="1" applyAlignment="1">
      <alignment horizontal="center" vertical="center" textRotation="90" wrapText="1"/>
    </xf>
    <xf numFmtId="0" fontId="3" fillId="3" borderId="49" xfId="0" applyFont="1" applyFill="1" applyBorder="1" applyAlignment="1">
      <alignment horizontal="center" vertical="center" textRotation="90" wrapText="1"/>
    </xf>
    <xf numFmtId="0" fontId="12" fillId="3" borderId="48" xfId="0" applyFont="1" applyFill="1" applyBorder="1" applyAlignment="1">
      <alignment horizontal="center" vertical="center" textRotation="90" wrapText="1"/>
    </xf>
    <xf numFmtId="0" fontId="12" fillId="3" borderId="50" xfId="0" applyFont="1" applyFill="1" applyBorder="1" applyAlignment="1">
      <alignment horizontal="center" vertical="center" textRotation="90" wrapText="1"/>
    </xf>
    <xf numFmtId="0" fontId="13" fillId="3" borderId="48" xfId="0" applyFont="1" applyFill="1" applyBorder="1" applyAlignment="1">
      <alignment horizontal="center" vertical="center" textRotation="90" wrapText="1"/>
    </xf>
    <xf numFmtId="0" fontId="13" fillId="3" borderId="49" xfId="0" applyFont="1" applyFill="1" applyBorder="1" applyAlignment="1">
      <alignment horizontal="center" vertical="center" textRotation="90" wrapText="1"/>
    </xf>
    <xf numFmtId="0" fontId="14" fillId="3" borderId="48" xfId="0" applyFont="1" applyFill="1" applyBorder="1" applyAlignment="1">
      <alignment horizontal="center" vertical="center" textRotation="90" wrapText="1"/>
    </xf>
    <xf numFmtId="1" fontId="0" fillId="2" borderId="10" xfId="0" applyNumberFormat="1" applyFill="1" applyBorder="1" applyProtection="1">
      <protection locked="0"/>
    </xf>
    <xf numFmtId="2" fontId="19" fillId="2" borderId="0" xfId="0" applyNumberFormat="1" applyFont="1" applyFill="1" applyAlignment="1" applyProtection="1">
      <alignment horizontal="left"/>
      <protection hidden="1"/>
    </xf>
    <xf numFmtId="165" fontId="17" fillId="2" borderId="0" xfId="0" applyNumberFormat="1" applyFont="1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30" fillId="3" borderId="0" xfId="0" applyFont="1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/>
      <protection hidden="1"/>
    </xf>
    <xf numFmtId="1" fontId="8" fillId="3" borderId="6" xfId="0" applyNumberFormat="1" applyFont="1" applyFill="1" applyBorder="1" applyAlignment="1" applyProtection="1">
      <alignment horizontal="center"/>
      <protection locked="0"/>
    </xf>
    <xf numFmtId="0" fontId="30" fillId="3" borderId="6" xfId="0" applyFont="1" applyFill="1" applyBorder="1" applyAlignment="1" applyProtection="1">
      <alignment horizontal="center"/>
      <protection hidden="1"/>
    </xf>
    <xf numFmtId="0" fontId="0" fillId="3" borderId="6" xfId="0" applyFill="1" applyBorder="1" applyAlignment="1" applyProtection="1">
      <alignment horizontal="center" vertical="center" wrapText="1"/>
      <protection hidden="1"/>
    </xf>
    <xf numFmtId="0" fontId="0" fillId="3" borderId="9" xfId="0" applyFill="1" applyBorder="1" applyAlignment="1" applyProtection="1">
      <alignment horizontal="center" vertical="center" wrapText="1"/>
      <protection hidden="1"/>
    </xf>
    <xf numFmtId="0" fontId="0" fillId="3" borderId="8" xfId="0" applyFill="1" applyBorder="1" applyAlignment="1" applyProtection="1">
      <alignment horizontal="center" vertical="center" wrapText="1"/>
      <protection hidden="1"/>
    </xf>
    <xf numFmtId="1" fontId="9" fillId="3" borderId="0" xfId="0" applyNumberFormat="1" applyFont="1" applyFill="1" applyAlignment="1">
      <alignment horizontal="left"/>
    </xf>
    <xf numFmtId="0" fontId="1" fillId="3" borderId="48" xfId="0" applyFont="1" applyFill="1" applyBorder="1" applyAlignment="1" applyProtection="1">
      <alignment horizontal="center" vertical="center" textRotation="90" wrapText="1"/>
      <protection hidden="1"/>
    </xf>
    <xf numFmtId="0" fontId="1" fillId="3" borderId="49" xfId="0" applyFont="1" applyFill="1" applyBorder="1" applyAlignment="1" applyProtection="1">
      <alignment horizontal="center" vertical="center" textRotation="90" wrapText="1"/>
      <protection hidden="1"/>
    </xf>
    <xf numFmtId="0" fontId="11" fillId="3" borderId="48" xfId="0" applyFont="1" applyFill="1" applyBorder="1" applyAlignment="1" applyProtection="1">
      <alignment horizontal="center" vertical="center" textRotation="90" wrapText="1"/>
      <protection hidden="1"/>
    </xf>
    <xf numFmtId="0" fontId="1" fillId="3" borderId="50" xfId="0" applyFont="1" applyFill="1" applyBorder="1" applyAlignment="1" applyProtection="1">
      <alignment horizontal="center" vertical="center" textRotation="90" wrapText="1"/>
      <protection hidden="1"/>
    </xf>
    <xf numFmtId="0" fontId="3" fillId="3" borderId="49" xfId="0" applyFont="1" applyFill="1" applyBorder="1" applyAlignment="1" applyProtection="1">
      <alignment horizontal="center" vertical="center" textRotation="90" wrapText="1"/>
      <protection hidden="1"/>
    </xf>
    <xf numFmtId="0" fontId="13" fillId="3" borderId="48" xfId="0" applyFont="1" applyFill="1" applyBorder="1" applyAlignment="1" applyProtection="1">
      <alignment horizontal="center" vertical="center" textRotation="90" wrapText="1"/>
      <protection hidden="1"/>
    </xf>
    <xf numFmtId="0" fontId="13" fillId="3" borderId="49" xfId="0" applyFont="1" applyFill="1" applyBorder="1" applyAlignment="1" applyProtection="1">
      <alignment horizontal="center" vertical="center" textRotation="90" wrapText="1"/>
      <protection hidden="1"/>
    </xf>
    <xf numFmtId="0" fontId="14" fillId="3" borderId="48" xfId="0" applyFont="1" applyFill="1" applyBorder="1" applyAlignment="1" applyProtection="1">
      <alignment horizontal="center" vertical="center" textRotation="90" wrapText="1"/>
      <protection hidden="1"/>
    </xf>
    <xf numFmtId="0" fontId="2" fillId="2" borderId="3" xfId="0" applyFont="1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2" fillId="2" borderId="3" xfId="0" applyFont="1" applyFill="1" applyBorder="1" applyAlignment="1" applyProtection="1">
      <alignment horizontal="right"/>
      <protection hidden="1"/>
    </xf>
    <xf numFmtId="0" fontId="32" fillId="3" borderId="48" xfId="0" applyFont="1" applyFill="1" applyBorder="1" applyAlignment="1" applyProtection="1">
      <alignment horizontal="center" vertical="center" textRotation="90" wrapText="1"/>
      <protection hidden="1"/>
    </xf>
    <xf numFmtId="0" fontId="32" fillId="3" borderId="49" xfId="0" applyFont="1" applyFill="1" applyBorder="1" applyAlignment="1" applyProtection="1">
      <alignment horizontal="center" vertical="center" textRotation="90" wrapText="1"/>
      <protection hidden="1"/>
    </xf>
    <xf numFmtId="0" fontId="32" fillId="3" borderId="48" xfId="0" applyFont="1" applyFill="1" applyBorder="1" applyAlignment="1">
      <alignment horizontal="center" vertical="center" textRotation="90" wrapText="1"/>
    </xf>
    <xf numFmtId="0" fontId="32" fillId="3" borderId="49" xfId="0" applyFont="1" applyFill="1" applyBorder="1" applyAlignment="1">
      <alignment horizontal="center" vertical="center" textRotation="90" wrapText="1"/>
    </xf>
    <xf numFmtId="0" fontId="33" fillId="3" borderId="49" xfId="0" applyFont="1" applyFill="1" applyBorder="1" applyAlignment="1" applyProtection="1">
      <alignment horizontal="center" vertical="center" textRotation="90" wrapText="1"/>
      <protection hidden="1"/>
    </xf>
    <xf numFmtId="0" fontId="33" fillId="3" borderId="50" xfId="0" applyFont="1" applyFill="1" applyBorder="1" applyAlignment="1" applyProtection="1">
      <alignment horizontal="center" vertical="center" textRotation="90" wrapText="1"/>
      <protection hidden="1"/>
    </xf>
    <xf numFmtId="0" fontId="33" fillId="3" borderId="48" xfId="0" applyFont="1" applyFill="1" applyBorder="1" applyAlignment="1" applyProtection="1">
      <alignment horizontal="center" vertical="center" textRotation="90" wrapText="1"/>
      <protection hidden="1"/>
    </xf>
    <xf numFmtId="1" fontId="9" fillId="12" borderId="2" xfId="0" applyNumberFormat="1" applyFont="1" applyFill="1" applyBorder="1" applyAlignment="1">
      <alignment horizontal="center" vertical="center"/>
    </xf>
    <xf numFmtId="1" fontId="9" fillId="12" borderId="4" xfId="0" applyNumberFormat="1" applyFont="1" applyFill="1" applyBorder="1" applyAlignment="1">
      <alignment horizontal="center" vertical="center"/>
    </xf>
    <xf numFmtId="1" fontId="9" fillId="12" borderId="5" xfId="0" applyNumberFormat="1" applyFont="1" applyFill="1" applyBorder="1" applyAlignment="1">
      <alignment horizontal="center" vertical="center"/>
    </xf>
    <xf numFmtId="1" fontId="9" fillId="12" borderId="6" xfId="0" applyNumberFormat="1" applyFont="1" applyFill="1" applyBorder="1" applyAlignment="1">
      <alignment horizontal="center" vertical="center"/>
    </xf>
    <xf numFmtId="0" fontId="33" fillId="3" borderId="49" xfId="0" applyFont="1" applyFill="1" applyBorder="1" applyAlignment="1">
      <alignment horizontal="center" vertical="center" textRotation="90" wrapText="1"/>
    </xf>
    <xf numFmtId="0" fontId="0" fillId="3" borderId="55" xfId="0" applyFill="1" applyBorder="1"/>
    <xf numFmtId="9" fontId="0" fillId="14" borderId="1" xfId="0" applyNumberFormat="1" applyFill="1" applyBorder="1" applyAlignment="1" applyProtection="1">
      <alignment horizontal="center"/>
      <protection locked="0"/>
    </xf>
    <xf numFmtId="0" fontId="0" fillId="2" borderId="25" xfId="0" applyFill="1" applyBorder="1" applyProtection="1">
      <protection hidden="1"/>
    </xf>
    <xf numFmtId="0" fontId="31" fillId="2" borderId="0" xfId="0" applyFont="1" applyFill="1" applyProtection="1">
      <protection hidden="1"/>
    </xf>
    <xf numFmtId="0" fontId="31" fillId="2" borderId="30" xfId="0" applyFont="1" applyFill="1" applyBorder="1" applyProtection="1">
      <protection hidden="1"/>
    </xf>
    <xf numFmtId="0" fontId="39" fillId="2" borderId="0" xfId="0" applyFont="1" applyFill="1" applyAlignment="1" applyProtection="1">
      <alignment horizontal="center" vertical="center"/>
      <protection hidden="1"/>
    </xf>
    <xf numFmtId="1" fontId="26" fillId="2" borderId="5" xfId="0" applyNumberFormat="1" applyFont="1" applyFill="1" applyBorder="1" applyAlignment="1" applyProtection="1">
      <alignment horizontal="center" vertical="center"/>
      <protection hidden="1"/>
    </xf>
    <xf numFmtId="0" fontId="26" fillId="2" borderId="0" xfId="0" applyFont="1" applyFill="1" applyAlignment="1" applyProtection="1">
      <alignment horizontal="center" vertical="center"/>
      <protection hidden="1"/>
    </xf>
    <xf numFmtId="2" fontId="26" fillId="2" borderId="6" xfId="0" applyNumberFormat="1" applyFont="1" applyFill="1" applyBorder="1" applyAlignment="1" applyProtection="1">
      <alignment horizontal="center" vertical="center"/>
      <protection hidden="1"/>
    </xf>
    <xf numFmtId="1" fontId="26" fillId="2" borderId="0" xfId="0" applyNumberFormat="1" applyFont="1" applyFill="1" applyAlignment="1" applyProtection="1">
      <alignment horizontal="center" vertical="center"/>
      <protection hidden="1"/>
    </xf>
    <xf numFmtId="2" fontId="26" fillId="2" borderId="0" xfId="0" applyNumberFormat="1" applyFont="1" applyFill="1" applyAlignment="1" applyProtection="1">
      <alignment horizontal="center" vertical="center"/>
      <protection hidden="1"/>
    </xf>
    <xf numFmtId="164" fontId="26" fillId="2" borderId="5" xfId="0" applyNumberFormat="1" applyFont="1" applyFill="1" applyBorder="1" applyAlignment="1" applyProtection="1">
      <alignment horizontal="center" vertical="center"/>
      <protection hidden="1"/>
    </xf>
    <xf numFmtId="164" fontId="26" fillId="2" borderId="6" xfId="0" applyNumberFormat="1" applyFont="1" applyFill="1" applyBorder="1" applyAlignment="1" applyProtection="1">
      <alignment horizontal="center" vertical="center"/>
      <protection hidden="1"/>
    </xf>
    <xf numFmtId="164" fontId="26" fillId="2" borderId="0" xfId="0" applyNumberFormat="1" applyFont="1" applyFill="1" applyAlignment="1" applyProtection="1">
      <alignment horizontal="center" vertical="center"/>
      <protection hidden="1"/>
    </xf>
    <xf numFmtId="1" fontId="26" fillId="2" borderId="6" xfId="0" applyNumberFormat="1" applyFont="1" applyFill="1" applyBorder="1" applyAlignment="1" applyProtection="1">
      <alignment horizontal="center" vertical="center"/>
      <protection hidden="1"/>
    </xf>
    <xf numFmtId="0" fontId="40" fillId="2" borderId="0" xfId="0" applyFont="1" applyFill="1" applyAlignment="1" applyProtection="1">
      <alignment horizontal="center" vertical="center"/>
      <protection hidden="1"/>
    </xf>
    <xf numFmtId="11" fontId="15" fillId="12" borderId="0" xfId="0" applyNumberFormat="1" applyFont="1" applyFill="1" applyAlignment="1" applyProtection="1">
      <alignment horizontal="center" vertical="center"/>
      <protection locked="0"/>
    </xf>
    <xf numFmtId="0" fontId="0" fillId="3" borderId="5" xfId="0" applyFill="1" applyBorder="1" applyAlignment="1">
      <alignment horizontal="left"/>
    </xf>
    <xf numFmtId="0" fontId="16" fillId="2" borderId="19" xfId="0" applyFont="1" applyFill="1" applyBorder="1" applyAlignment="1" applyProtection="1">
      <alignment horizontal="center" vertical="center"/>
      <protection locked="0"/>
    </xf>
    <xf numFmtId="0" fontId="0" fillId="2" borderId="24" xfId="0" applyFill="1" applyBorder="1" applyProtection="1">
      <protection locked="0"/>
    </xf>
    <xf numFmtId="166" fontId="0" fillId="2" borderId="24" xfId="0" applyNumberFormat="1" applyFill="1" applyBorder="1"/>
    <xf numFmtId="166" fontId="0" fillId="2" borderId="0" xfId="0" applyNumberFormat="1" applyFill="1"/>
    <xf numFmtId="166" fontId="0" fillId="2" borderId="0" xfId="0" applyNumberFormat="1" applyFill="1" applyProtection="1">
      <protection locked="0"/>
    </xf>
    <xf numFmtId="0" fontId="0" fillId="2" borderId="24" xfId="0" applyFill="1" applyBorder="1"/>
    <xf numFmtId="1" fontId="0" fillId="2" borderId="24" xfId="0" applyNumberFormat="1" applyFill="1" applyBorder="1" applyAlignment="1">
      <alignment horizontal="center"/>
    </xf>
    <xf numFmtId="1" fontId="0" fillId="2" borderId="0" xfId="0" applyNumberFormat="1" applyFill="1" applyAlignment="1">
      <alignment horizontal="center"/>
    </xf>
    <xf numFmtId="1" fontId="0" fillId="2" borderId="24" xfId="0" applyNumberFormat="1" applyFill="1" applyBorder="1" applyAlignment="1" applyProtection="1">
      <alignment horizontal="left"/>
      <protection locked="0"/>
    </xf>
    <xf numFmtId="1" fontId="0" fillId="2" borderId="0" xfId="0" applyNumberForma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1" fontId="0" fillId="2" borderId="24" xfId="0" applyNumberFormat="1" applyFill="1" applyBorder="1" applyAlignment="1">
      <alignment horizontal="left"/>
    </xf>
    <xf numFmtId="1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0" fontId="19" fillId="2" borderId="24" xfId="0" applyFont="1" applyFill="1" applyBorder="1" applyAlignment="1" applyProtection="1">
      <alignment horizontal="center" vertical="center" textRotation="255" wrapText="1"/>
      <protection locked="0"/>
    </xf>
    <xf numFmtId="0" fontId="19" fillId="2" borderId="0" xfId="0" applyFont="1" applyFill="1" applyAlignment="1" applyProtection="1">
      <alignment horizontal="center" vertical="center" textRotation="255" wrapText="1"/>
      <protection locked="0"/>
    </xf>
    <xf numFmtId="0" fontId="2" fillId="2" borderId="19" xfId="0" applyFont="1" applyFill="1" applyBorder="1" applyAlignment="1" applyProtection="1">
      <alignment horizontal="center" vertical="center" textRotation="255"/>
      <protection locked="0"/>
    </xf>
    <xf numFmtId="0" fontId="1" fillId="3" borderId="11" xfId="0" applyFont="1" applyFill="1" applyBorder="1" applyAlignment="1" applyProtection="1">
      <alignment horizontal="left" vertical="center"/>
      <protection hidden="1"/>
    </xf>
    <xf numFmtId="0" fontId="1" fillId="3" borderId="12" xfId="0" applyFont="1" applyFill="1" applyBorder="1" applyAlignment="1" applyProtection="1">
      <alignment horizontal="left" vertical="center"/>
      <protection hidden="1"/>
    </xf>
    <xf numFmtId="0" fontId="38" fillId="3" borderId="12" xfId="0" applyFont="1" applyFill="1" applyBorder="1" applyAlignment="1" applyProtection="1">
      <alignment horizontal="left" vertical="center"/>
      <protection hidden="1"/>
    </xf>
    <xf numFmtId="0" fontId="38" fillId="3" borderId="13" xfId="0" applyFont="1" applyFill="1" applyBorder="1" applyAlignment="1" applyProtection="1">
      <alignment horizontal="left" vertical="center"/>
      <protection hidden="1"/>
    </xf>
    <xf numFmtId="0" fontId="35" fillId="3" borderId="12" xfId="0" applyFont="1" applyFill="1" applyBorder="1" applyAlignment="1" applyProtection="1">
      <alignment horizontal="left" vertical="center"/>
      <protection hidden="1"/>
    </xf>
    <xf numFmtId="0" fontId="35" fillId="3" borderId="13" xfId="0" applyFont="1" applyFill="1" applyBorder="1" applyAlignment="1" applyProtection="1">
      <alignment horizontal="left" vertical="center"/>
      <protection hidden="1"/>
    </xf>
    <xf numFmtId="0" fontId="0" fillId="2" borderId="24" xfId="0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26" xfId="0" applyFill="1" applyBorder="1" applyAlignment="1" applyProtection="1">
      <alignment horizontal="center"/>
      <protection hidden="1"/>
    </xf>
    <xf numFmtId="0" fontId="0" fillId="2" borderId="30" xfId="0" applyFill="1" applyBorder="1" applyAlignment="1" applyProtection="1">
      <alignment horizontal="center"/>
      <protection hidden="1"/>
    </xf>
    <xf numFmtId="0" fontId="0" fillId="11" borderId="18" xfId="0" applyFill="1" applyBorder="1" applyAlignment="1" applyProtection="1">
      <alignment horizontal="left"/>
      <protection hidden="1"/>
    </xf>
    <xf numFmtId="0" fontId="0" fillId="11" borderId="19" xfId="0" applyFill="1" applyBorder="1" applyAlignment="1" applyProtection="1">
      <alignment horizontal="left"/>
      <protection hidden="1"/>
    </xf>
    <xf numFmtId="0" fontId="0" fillId="11" borderId="36" xfId="0" applyFill="1" applyBorder="1" applyAlignment="1" applyProtection="1">
      <alignment horizontal="left"/>
      <protection hidden="1"/>
    </xf>
    <xf numFmtId="0" fontId="0" fillId="11" borderId="1" xfId="0" applyFill="1" applyBorder="1" applyAlignment="1" applyProtection="1">
      <alignment horizontal="left"/>
      <protection hidden="1"/>
    </xf>
    <xf numFmtId="0" fontId="0" fillId="11" borderId="37" xfId="0" applyFill="1" applyBorder="1" applyAlignment="1" applyProtection="1">
      <alignment horizontal="left"/>
      <protection hidden="1"/>
    </xf>
    <xf numFmtId="0" fontId="2" fillId="11" borderId="38" xfId="0" applyFont="1" applyFill="1" applyBorder="1" applyAlignment="1" applyProtection="1">
      <alignment horizontal="center"/>
      <protection hidden="1"/>
    </xf>
    <xf numFmtId="0" fontId="2" fillId="11" borderId="39" xfId="0" applyFont="1" applyFill="1" applyBorder="1" applyAlignment="1" applyProtection="1">
      <alignment horizontal="center"/>
      <protection hidden="1"/>
    </xf>
    <xf numFmtId="1" fontId="8" fillId="4" borderId="40" xfId="0" applyNumberFormat="1" applyFont="1" applyFill="1" applyBorder="1" applyAlignment="1" applyProtection="1">
      <alignment horizontal="center"/>
      <protection locked="0"/>
    </xf>
    <xf numFmtId="1" fontId="8" fillId="4" borderId="41" xfId="0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left"/>
      <protection hidden="1"/>
    </xf>
    <xf numFmtId="0" fontId="34" fillId="2" borderId="0" xfId="0" applyFont="1" applyFill="1" applyAlignment="1" applyProtection="1">
      <alignment horizontal="center" vertical="center"/>
      <protection hidden="1"/>
    </xf>
    <xf numFmtId="0" fontId="36" fillId="2" borderId="59" xfId="0" applyFont="1" applyFill="1" applyBorder="1" applyAlignment="1" applyProtection="1">
      <alignment horizontal="center"/>
      <protection hidden="1"/>
    </xf>
    <xf numFmtId="0" fontId="36" fillId="2" borderId="0" xfId="0" applyFont="1" applyFill="1" applyAlignment="1" applyProtection="1">
      <alignment horizontal="center"/>
      <protection hidden="1"/>
    </xf>
    <xf numFmtId="0" fontId="37" fillId="2" borderId="0" xfId="0" applyFont="1" applyFill="1" applyAlignment="1" applyProtection="1">
      <alignment horizontal="center" vertical="center"/>
      <protection hidden="1"/>
    </xf>
    <xf numFmtId="0" fontId="34" fillId="3" borderId="56" xfId="0" applyFont="1" applyFill="1" applyBorder="1" applyAlignment="1" applyProtection="1">
      <alignment horizontal="center" vertical="top"/>
      <protection hidden="1"/>
    </xf>
    <xf numFmtId="0" fontId="34" fillId="3" borderId="57" xfId="0" applyFont="1" applyFill="1" applyBorder="1" applyAlignment="1" applyProtection="1">
      <alignment horizontal="center" vertical="top"/>
      <protection hidden="1"/>
    </xf>
    <xf numFmtId="0" fontId="34" fillId="3" borderId="58" xfId="0" applyFont="1" applyFill="1" applyBorder="1" applyAlignment="1" applyProtection="1">
      <alignment horizontal="center" vertical="top"/>
      <protection hidden="1"/>
    </xf>
    <xf numFmtId="0" fontId="30" fillId="11" borderId="38" xfId="0" applyFont="1" applyFill="1" applyBorder="1" applyAlignment="1" applyProtection="1">
      <alignment horizontal="center"/>
      <protection hidden="1"/>
    </xf>
    <xf numFmtId="0" fontId="30" fillId="11" borderId="39" xfId="0" applyFont="1" applyFill="1" applyBorder="1" applyAlignment="1" applyProtection="1">
      <alignment horizontal="center"/>
      <protection hidden="1"/>
    </xf>
    <xf numFmtId="0" fontId="0" fillId="4" borderId="42" xfId="0" applyFill="1" applyBorder="1" applyAlignment="1" applyProtection="1">
      <alignment horizontal="center"/>
      <protection locked="0"/>
    </xf>
    <xf numFmtId="0" fontId="0" fillId="4" borderId="19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21" fillId="11" borderId="26" xfId="0" applyFont="1" applyFill="1" applyBorder="1" applyAlignment="1" applyProtection="1">
      <alignment horizontal="center"/>
      <protection hidden="1"/>
    </xf>
    <xf numFmtId="0" fontId="21" fillId="11" borderId="30" xfId="0" applyFont="1" applyFill="1" applyBorder="1" applyAlignment="1" applyProtection="1">
      <alignment horizontal="center"/>
      <protection hidden="1"/>
    </xf>
    <xf numFmtId="0" fontId="21" fillId="11" borderId="52" xfId="0" applyFont="1" applyFill="1" applyBorder="1" applyAlignment="1" applyProtection="1">
      <alignment horizontal="center"/>
      <protection hidden="1"/>
    </xf>
    <xf numFmtId="0" fontId="0" fillId="4" borderId="51" xfId="0" applyFill="1" applyBorder="1" applyAlignment="1" applyProtection="1">
      <alignment horizontal="center" vertical="center"/>
      <protection locked="0"/>
    </xf>
    <xf numFmtId="0" fontId="0" fillId="4" borderId="25" xfId="0" applyFill="1" applyBorder="1" applyAlignment="1" applyProtection="1">
      <alignment horizontal="center" vertical="center"/>
      <protection locked="0"/>
    </xf>
    <xf numFmtId="0" fontId="0" fillId="4" borderId="53" xfId="0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 applyProtection="1">
      <alignment horizontal="center" vertical="center" wrapText="1"/>
      <protection hidden="1"/>
    </xf>
    <xf numFmtId="0" fontId="0" fillId="4" borderId="27" xfId="0" applyFill="1" applyBorder="1" applyAlignment="1" applyProtection="1">
      <alignment horizontal="center" vertical="center" wrapText="1"/>
      <protection hidden="1"/>
    </xf>
    <xf numFmtId="0" fontId="0" fillId="4" borderId="24" xfId="0" applyFill="1" applyBorder="1" applyAlignment="1" applyProtection="1">
      <alignment horizontal="center" vertical="center" wrapText="1"/>
      <protection hidden="1"/>
    </xf>
    <xf numFmtId="0" fontId="0" fillId="4" borderId="25" xfId="0" applyFill="1" applyBorder="1" applyAlignment="1" applyProtection="1">
      <alignment horizontal="center" vertical="center" wrapText="1"/>
      <protection hidden="1"/>
    </xf>
    <xf numFmtId="0" fontId="0" fillId="4" borderId="26" xfId="0" applyFill="1" applyBorder="1" applyAlignment="1" applyProtection="1">
      <alignment horizontal="center" vertical="center" wrapText="1"/>
      <protection hidden="1"/>
    </xf>
    <xf numFmtId="0" fontId="0" fillId="4" borderId="28" xfId="0" applyFill="1" applyBorder="1" applyAlignment="1" applyProtection="1">
      <alignment horizontal="center" vertical="center" wrapText="1"/>
      <protection hidden="1"/>
    </xf>
    <xf numFmtId="0" fontId="21" fillId="11" borderId="24" xfId="0" applyFont="1" applyFill="1" applyBorder="1" applyAlignment="1" applyProtection="1">
      <alignment horizontal="center"/>
      <protection hidden="1"/>
    </xf>
    <xf numFmtId="0" fontId="21" fillId="11" borderId="0" xfId="0" applyFont="1" applyFill="1" applyAlignment="1" applyProtection="1">
      <alignment horizontal="center"/>
      <protection hidden="1"/>
    </xf>
    <xf numFmtId="0" fontId="21" fillId="11" borderId="54" xfId="0" applyFont="1" applyFill="1" applyBorder="1" applyAlignment="1" applyProtection="1">
      <alignment horizontal="center"/>
      <protection hidden="1"/>
    </xf>
    <xf numFmtId="0" fontId="6" fillId="11" borderId="18" xfId="0" applyFont="1" applyFill="1" applyBorder="1" applyAlignment="1" applyProtection="1">
      <alignment horizontal="center"/>
      <protection hidden="1"/>
    </xf>
    <xf numFmtId="0" fontId="6" fillId="11" borderId="19" xfId="0" applyFont="1" applyFill="1" applyBorder="1" applyAlignment="1" applyProtection="1">
      <alignment horizontal="center"/>
      <protection hidden="1"/>
    </xf>
    <xf numFmtId="0" fontId="6" fillId="11" borderId="36" xfId="0" applyFont="1" applyFill="1" applyBorder="1" applyAlignment="1" applyProtection="1">
      <alignment horizontal="center"/>
      <protection hidden="1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7" borderId="32" xfId="0" applyFont="1" applyFill="1" applyBorder="1" applyAlignment="1">
      <alignment horizontal="center"/>
    </xf>
    <xf numFmtId="0" fontId="1" fillId="7" borderId="45" xfId="0" applyFont="1" applyFill="1" applyBorder="1" applyAlignment="1">
      <alignment horizontal="center"/>
    </xf>
    <xf numFmtId="2" fontId="8" fillId="4" borderId="34" xfId="0" applyNumberFormat="1" applyFont="1" applyFill="1" applyBorder="1" applyAlignment="1">
      <alignment horizontal="center"/>
    </xf>
    <xf numFmtId="2" fontId="8" fillId="4" borderId="46" xfId="0" applyNumberFormat="1" applyFont="1" applyFill="1" applyBorder="1" applyAlignment="1">
      <alignment horizontal="center"/>
    </xf>
    <xf numFmtId="0" fontId="16" fillId="2" borderId="18" xfId="0" applyFont="1" applyFill="1" applyBorder="1" applyAlignment="1" applyProtection="1">
      <alignment horizontal="center" vertical="center"/>
      <protection locked="0"/>
    </xf>
    <xf numFmtId="0" fontId="16" fillId="2" borderId="19" xfId="0" applyFont="1" applyFill="1" applyBorder="1" applyAlignment="1" applyProtection="1">
      <alignment horizontal="center" vertical="center"/>
      <protection locked="0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9" xfId="0" applyFont="1" applyFill="1" applyBorder="1" applyAlignment="1" applyProtection="1">
      <alignment horizontal="center" vertical="center"/>
      <protection locked="0"/>
    </xf>
    <xf numFmtId="0" fontId="16" fillId="2" borderId="27" xfId="0" applyFont="1" applyFill="1" applyBorder="1" applyAlignment="1" applyProtection="1">
      <alignment horizontal="center" vertical="center"/>
      <protection locked="0"/>
    </xf>
    <xf numFmtId="0" fontId="16" fillId="12" borderId="23" xfId="0" applyFont="1" applyFill="1" applyBorder="1" applyAlignment="1" applyProtection="1">
      <alignment horizontal="center" vertical="center"/>
      <protection locked="0"/>
    </xf>
    <xf numFmtId="0" fontId="16" fillId="12" borderId="29" xfId="0" applyFont="1" applyFill="1" applyBorder="1" applyAlignment="1" applyProtection="1">
      <alignment horizontal="center" vertical="center"/>
      <protection locked="0"/>
    </xf>
    <xf numFmtId="0" fontId="16" fillId="12" borderId="27" xfId="0" applyFont="1" applyFill="1" applyBorder="1" applyAlignment="1" applyProtection="1">
      <alignment horizontal="center" vertical="center"/>
      <protection locked="0"/>
    </xf>
    <xf numFmtId="0" fontId="1" fillId="3" borderId="55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2" fontId="9" fillId="3" borderId="55" xfId="0" applyNumberFormat="1" applyFont="1" applyFill="1" applyBorder="1" applyAlignment="1">
      <alignment horizontal="left"/>
    </xf>
    <xf numFmtId="2" fontId="9" fillId="3" borderId="47" xfId="0" applyNumberFormat="1" applyFont="1" applyFill="1" applyBorder="1" applyAlignment="1">
      <alignment horizontal="left"/>
    </xf>
    <xf numFmtId="0" fontId="1" fillId="12" borderId="18" xfId="0" applyFont="1" applyFill="1" applyBorder="1" applyAlignment="1" applyProtection="1">
      <alignment horizontal="center" vertical="center"/>
      <protection locked="0"/>
    </xf>
    <xf numFmtId="0" fontId="1" fillId="12" borderId="29" xfId="0" applyFont="1" applyFill="1" applyBorder="1" applyAlignment="1" applyProtection="1">
      <alignment horizontal="center" vertical="center"/>
      <protection locked="0"/>
    </xf>
    <xf numFmtId="0" fontId="1" fillId="12" borderId="19" xfId="0" applyFont="1" applyFill="1" applyBorder="1" applyAlignment="1" applyProtection="1">
      <alignment horizontal="center" vertical="center"/>
      <protection locked="0"/>
    </xf>
    <xf numFmtId="0" fontId="1" fillId="12" borderId="10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10" fillId="5" borderId="38" xfId="0" applyFont="1" applyFill="1" applyBorder="1" applyAlignment="1" applyProtection="1">
      <alignment horizontal="center"/>
      <protection hidden="1"/>
    </xf>
    <xf numFmtId="0" fontId="10" fillId="5" borderId="39" xfId="0" applyFont="1" applyFill="1" applyBorder="1" applyAlignment="1" applyProtection="1">
      <alignment horizontal="center"/>
      <protection hidden="1"/>
    </xf>
    <xf numFmtId="0" fontId="1" fillId="7" borderId="32" xfId="0" applyFont="1" applyFill="1" applyBorder="1" applyAlignment="1" applyProtection="1">
      <alignment horizontal="center"/>
      <protection hidden="1"/>
    </xf>
    <xf numFmtId="0" fontId="1" fillId="7" borderId="33" xfId="0" applyFont="1" applyFill="1" applyBorder="1" applyAlignment="1" applyProtection="1">
      <alignment horizontal="center"/>
      <protection hidden="1"/>
    </xf>
    <xf numFmtId="1" fontId="8" fillId="4" borderId="34" xfId="0" applyNumberFormat="1" applyFont="1" applyFill="1" applyBorder="1" applyAlignment="1" applyProtection="1">
      <alignment horizontal="center"/>
      <protection hidden="1"/>
    </xf>
    <xf numFmtId="1" fontId="8" fillId="4" borderId="35" xfId="0" applyNumberFormat="1" applyFont="1" applyFill="1" applyBorder="1" applyAlignment="1" applyProtection="1">
      <alignment horizontal="center"/>
      <protection hidden="1"/>
    </xf>
    <xf numFmtId="0" fontId="10" fillId="4" borderId="18" xfId="0" applyFont="1" applyFill="1" applyBorder="1" applyAlignment="1" applyProtection="1">
      <alignment horizontal="center"/>
      <protection hidden="1"/>
    </xf>
    <xf numFmtId="0" fontId="10" fillId="4" borderId="19" xfId="0" applyFont="1" applyFill="1" applyBorder="1" applyAlignment="1" applyProtection="1">
      <alignment horizontal="center"/>
      <protection hidden="1"/>
    </xf>
    <xf numFmtId="0" fontId="10" fillId="4" borderId="10" xfId="0" applyFont="1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left"/>
      <protection hidden="1"/>
    </xf>
    <xf numFmtId="0" fontId="0" fillId="3" borderId="0" xfId="0" applyFill="1" applyAlignment="1" applyProtection="1">
      <alignment horizontal="left"/>
      <protection hidden="1"/>
    </xf>
    <xf numFmtId="0" fontId="0" fillId="3" borderId="25" xfId="0" applyFill="1" applyBorder="1" applyAlignment="1" applyProtection="1">
      <alignment horizontal="left"/>
      <protection hidden="1"/>
    </xf>
  </cellXfs>
  <cellStyles count="24">
    <cellStyle name="Hiperłącze" xfId="1" builtinId="8" hidden="1"/>
    <cellStyle name="Hiperłącze" xfId="3" builtinId="8" hidden="1"/>
    <cellStyle name="Hiperłącze" xfId="5" builtinId="8" hidden="1"/>
    <cellStyle name="Hiperłącze" xfId="7" builtinId="8" hidden="1"/>
    <cellStyle name="Hiperłącze" xfId="9" builtinId="8" hidden="1"/>
    <cellStyle name="Hiperłącze" xfId="11" builtinId="8" hidden="1"/>
    <cellStyle name="Hiperłącze" xfId="13" builtinId="8" hidden="1"/>
    <cellStyle name="Hiperłącze" xfId="15" builtinId="8" hidden="1"/>
    <cellStyle name="Hiperłącze" xfId="17" builtinId="8" hidden="1"/>
    <cellStyle name="Hiperłącze" xfId="19" builtinId="8" hidden="1"/>
    <cellStyle name="Hiperłącze" xfId="21" builtinId="8" hidden="1"/>
    <cellStyle name="Normalny" xfId="0" builtinId="0"/>
    <cellStyle name="Odwiedzone hiperłącze" xfId="2" builtinId="9" hidden="1"/>
    <cellStyle name="Odwiedzone hiperłącze" xfId="4" builtinId="9" hidden="1"/>
    <cellStyle name="Odwiedzone hiperłącze" xfId="6" builtinId="9" hidden="1"/>
    <cellStyle name="Odwiedzone hiperłącze" xfId="8" builtinId="9" hidden="1"/>
    <cellStyle name="Odwiedzone hiperłącze" xfId="10" builtinId="9" hidden="1"/>
    <cellStyle name="Odwiedzone hiperłącze" xfId="12" builtinId="9" hidden="1"/>
    <cellStyle name="Odwiedzone hiperłącze" xfId="14" builtinId="9" hidden="1"/>
    <cellStyle name="Odwiedzone hiperłącze" xfId="16" builtinId="9" hidden="1"/>
    <cellStyle name="Odwiedzone hiperłącze" xfId="18" builtinId="9" hidden="1"/>
    <cellStyle name="Odwiedzone hiperłącze" xfId="20" builtinId="9" hidden="1"/>
    <cellStyle name="Odwiedzone hiperłącze" xfId="22" builtinId="9" hidden="1"/>
    <cellStyle name="Procentowy" xfId="23" builtinId="5"/>
  </cellStyles>
  <dxfs count="0"/>
  <tableStyles count="0" defaultTableStyle="TableStyleMedium2" defaultPivotStyle="PivotStyleLight16"/>
  <colors>
    <mruColors>
      <color rgb="FF305496"/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</xdr:colOff>
          <xdr:row>10</xdr:row>
          <xdr:rowOff>38100</xdr:rowOff>
        </xdr:from>
        <xdr:to>
          <xdr:col>13</xdr:col>
          <xdr:colOff>447673</xdr:colOff>
          <xdr:row>13</xdr:row>
          <xdr:rowOff>47625</xdr:rowOff>
        </xdr:to>
        <xdr:grpSp>
          <xdr:nvGrpSpPr>
            <xdr:cNvPr id="7" name="Groep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5727700" y="2025650"/>
              <a:ext cx="847723" cy="568325"/>
              <a:chOff x="9363071" y="609628"/>
              <a:chExt cx="1113915" cy="476250"/>
            </a:xfrm>
          </xdr:grpSpPr>
          <xdr:sp macro="" textlink="">
            <xdr:nvSpPr>
              <xdr:cNvPr id="6149" name="rbtnSI" hidden="1">
                <a:extLst>
                  <a:ext uri="{63B3BB69-23CF-44E3-9099-C40C66FF867C}">
                    <a14:compatExt spid="_x0000_s6149"/>
                  </a:ext>
                  <a:ext uri="{FF2B5EF4-FFF2-40B4-BE49-F238E27FC236}">
                    <a16:creationId xmlns:a16="http://schemas.microsoft.com/office/drawing/2014/main" id="{00000000-0008-0000-0000-000005180000}"/>
                  </a:ext>
                </a:extLst>
              </xdr:cNvPr>
              <xdr:cNvSpPr/>
            </xdr:nvSpPr>
            <xdr:spPr bwMode="auto">
              <a:xfrm>
                <a:off x="9363071" y="609628"/>
                <a:ext cx="90718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0" name="rbtnImperial" hidden="1">
                <a:extLst>
                  <a:ext uri="{63B3BB69-23CF-44E3-9099-C40C66FF867C}">
                    <a14:compatExt spid="_x0000_s6150"/>
                  </a:ext>
                  <a:ext uri="{FF2B5EF4-FFF2-40B4-BE49-F238E27FC236}">
                    <a16:creationId xmlns:a16="http://schemas.microsoft.com/office/drawing/2014/main" id="{00000000-0008-0000-0000-000006180000}"/>
                  </a:ext>
                </a:extLst>
              </xdr:cNvPr>
              <xdr:cNvSpPr/>
            </xdr:nvSpPr>
            <xdr:spPr bwMode="auto">
              <a:xfrm>
                <a:off x="9363097" y="828703"/>
                <a:ext cx="1113889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3</xdr:row>
          <xdr:rowOff>12700</xdr:rowOff>
        </xdr:from>
        <xdr:to>
          <xdr:col>5</xdr:col>
          <xdr:colOff>247650</xdr:colOff>
          <xdr:row>5</xdr:row>
          <xdr:rowOff>12700</xdr:rowOff>
        </xdr:to>
        <xdr:sp macro="" textlink="">
          <xdr:nvSpPr>
            <xdr:cNvPr id="6153" name="btnCopy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48457</xdr:colOff>
      <xdr:row>1</xdr:row>
      <xdr:rowOff>0</xdr:rowOff>
    </xdr:from>
    <xdr:to>
      <xdr:col>16</xdr:col>
      <xdr:colOff>38100</xdr:colOff>
      <xdr:row>2</xdr:row>
      <xdr:rowOff>181264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477707" y="190500"/>
          <a:ext cx="894518" cy="562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U81"/>
  <sheetViews>
    <sheetView tabSelected="1" zoomScaleNormal="100" workbookViewId="0">
      <pane ySplit="16" topLeftCell="A17" activePane="bottomLeft" state="frozen"/>
      <selection pane="bottomLeft" activeCell="K6" sqref="K6:N6"/>
    </sheetView>
  </sheetViews>
  <sheetFormatPr defaultColWidth="0" defaultRowHeight="0" customHeight="1" zeroHeight="1" x14ac:dyDescent="0.35"/>
  <cols>
    <col min="1" max="1" width="2" style="92" customWidth="1"/>
    <col min="2" max="2" width="5.7265625" style="92" customWidth="1"/>
    <col min="3" max="3" width="4.1796875" style="92" customWidth="1"/>
    <col min="4" max="4" width="7.26953125" style="92" customWidth="1"/>
    <col min="5" max="5" width="7.1796875" style="92" customWidth="1"/>
    <col min="6" max="6" width="7.54296875" style="92" customWidth="1"/>
    <col min="7" max="7" width="9.453125" style="92" customWidth="1"/>
    <col min="8" max="8" width="7.81640625" style="92" customWidth="1"/>
    <col min="9" max="9" width="7.26953125" style="92" customWidth="1"/>
    <col min="10" max="10" width="7" style="92" customWidth="1"/>
    <col min="11" max="11" width="7.81640625" style="92" customWidth="1"/>
    <col min="12" max="12" width="8.1796875" style="92" customWidth="1"/>
    <col min="13" max="13" width="6.26953125" style="92" customWidth="1"/>
    <col min="14" max="14" width="7" style="92" customWidth="1"/>
    <col min="15" max="16" width="0.1796875" style="92" customWidth="1"/>
    <col min="17" max="17" width="2" style="92" customWidth="1"/>
    <col min="18" max="18" width="2" style="92" hidden="1" customWidth="1"/>
    <col min="19" max="19" width="3.453125" style="92" hidden="1" customWidth="1"/>
    <col min="20" max="16384" width="0.1796875" style="92" hidden="1"/>
  </cols>
  <sheetData>
    <row r="1" spans="2:19" ht="15" customHeight="1" x14ac:dyDescent="0.35">
      <c r="M1" s="306"/>
      <c r="N1" s="306"/>
      <c r="O1" s="306"/>
      <c r="P1" s="306"/>
      <c r="Q1" s="306"/>
    </row>
    <row r="2" spans="2:19" ht="30" customHeight="1" x14ac:dyDescent="0.35">
      <c r="B2" s="310" t="s">
        <v>234</v>
      </c>
      <c r="C2" s="311"/>
      <c r="D2" s="311"/>
      <c r="E2" s="311"/>
      <c r="F2" s="311"/>
      <c r="G2" s="311"/>
      <c r="H2" s="311"/>
      <c r="I2" s="311"/>
      <c r="J2" s="311"/>
      <c r="K2" s="311"/>
      <c r="L2" s="312"/>
      <c r="M2" s="307"/>
      <c r="N2" s="308"/>
      <c r="O2" s="308"/>
      <c r="P2" s="308"/>
      <c r="Q2" s="308"/>
    </row>
    <row r="3" spans="2:19" ht="15" customHeight="1" x14ac:dyDescent="0.45">
      <c r="B3" s="254"/>
      <c r="C3" s="254"/>
      <c r="D3" s="254"/>
      <c r="E3" s="254"/>
      <c r="F3" s="254"/>
      <c r="G3" s="255"/>
      <c r="H3" s="255"/>
      <c r="I3" s="255"/>
      <c r="J3" s="255"/>
      <c r="K3" s="255"/>
      <c r="L3" s="255"/>
      <c r="M3" s="309"/>
      <c r="N3" s="309"/>
      <c r="O3" s="309"/>
      <c r="P3" s="309"/>
      <c r="Q3" s="309"/>
    </row>
    <row r="4" spans="2:19" ht="14.5" x14ac:dyDescent="0.35">
      <c r="F4" s="253"/>
      <c r="G4" s="331" t="s">
        <v>158</v>
      </c>
      <c r="H4" s="332">
        <v>0</v>
      </c>
      <c r="I4" s="332">
        <v>0</v>
      </c>
      <c r="J4" s="333">
        <v>0</v>
      </c>
      <c r="K4" s="321" t="s">
        <v>81</v>
      </c>
      <c r="L4" s="322"/>
      <c r="M4" s="292"/>
      <c r="N4" s="293"/>
      <c r="O4" s="172"/>
      <c r="P4" s="172"/>
    </row>
    <row r="5" spans="2:19" ht="14.5" x14ac:dyDescent="0.35">
      <c r="B5" s="305"/>
      <c r="C5" s="305"/>
      <c r="D5" s="305"/>
      <c r="G5" s="318" t="s">
        <v>228</v>
      </c>
      <c r="H5" s="319"/>
      <c r="I5" s="319"/>
      <c r="J5" s="320"/>
      <c r="K5" s="323"/>
      <c r="L5" s="324"/>
      <c r="M5" s="294"/>
      <c r="N5" s="295"/>
      <c r="O5" s="172"/>
      <c r="P5" s="172"/>
    </row>
    <row r="6" spans="2:19" ht="14.5" x14ac:dyDescent="0.35">
      <c r="B6" s="93"/>
      <c r="G6" s="334" t="str">
        <f>IF(cal!$S$7=1,"Uitvoering",IF(cal!$S$7=2,"Version",IF(cal!$S$7=3,"Ausfürhung",IF(cal!$S$7=4,"Version",IF(cal!$S$7=5,"Modell",IF(cal!$S$7=6,"Version",IF(cal!$S$7=7,"Modell",IF(cal!$S$7=8,"Verze",IF(cal!$S$7=9,"Version",IF(cal!$S$7=10,"Version",IF(cal!$S$7=11,"Version",)))))))))))</f>
        <v>Version</v>
      </c>
      <c r="H6" s="335"/>
      <c r="I6" s="335"/>
      <c r="J6" s="336"/>
      <c r="K6" s="315" t="s">
        <v>233</v>
      </c>
      <c r="L6" s="316"/>
      <c r="M6" s="316"/>
      <c r="N6" s="317"/>
    </row>
    <row r="7" spans="2:19" ht="6" customHeight="1" x14ac:dyDescent="0.35">
      <c r="B7" s="94"/>
      <c r="C7" s="95"/>
      <c r="D7" s="95"/>
      <c r="E7" s="95"/>
      <c r="F7" s="95"/>
      <c r="G7" s="95"/>
      <c r="H7" s="95"/>
      <c r="I7" s="95"/>
      <c r="J7" s="95"/>
      <c r="K7" s="97"/>
      <c r="L7" s="97"/>
      <c r="M7" s="97"/>
      <c r="N7" s="97"/>
      <c r="O7" s="95"/>
      <c r="P7" s="96"/>
    </row>
    <row r="8" spans="2:19" ht="16" thickBot="1" x14ac:dyDescent="0.4">
      <c r="B8" s="148" t="str">
        <f>cal!B7</f>
        <v>Temperatures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301" t="str">
        <f>cal!M7</f>
        <v>Altitude</v>
      </c>
      <c r="N8" s="302"/>
      <c r="O8" s="218"/>
      <c r="P8" s="221"/>
    </row>
    <row r="9" spans="2:19" ht="16" thickTop="1" x14ac:dyDescent="0.35">
      <c r="B9" s="148" t="str">
        <f>cal!B8</f>
        <v>Heating:</v>
      </c>
      <c r="C9" s="97"/>
      <c r="D9" s="97"/>
      <c r="E9" s="97"/>
      <c r="F9" s="97"/>
      <c r="G9" s="149" t="str">
        <f>cal!G8</f>
        <v>Cooling:</v>
      </c>
      <c r="H9" s="98"/>
      <c r="I9" s="98"/>
      <c r="J9" s="97" t="s">
        <v>236</v>
      </c>
      <c r="K9" s="97"/>
      <c r="L9" s="97"/>
      <c r="M9" s="303">
        <v>0</v>
      </c>
      <c r="N9" s="304">
        <v>0</v>
      </c>
      <c r="O9" s="227" t="str">
        <f>cal!O8</f>
        <v>m</v>
      </c>
      <c r="P9" s="222"/>
      <c r="Q9" s="216"/>
    </row>
    <row r="10" spans="2:19" ht="15" thickBot="1" x14ac:dyDescent="0.4">
      <c r="B10" s="296" t="str">
        <f>cal!B9</f>
        <v>Inlet temp.</v>
      </c>
      <c r="C10" s="297">
        <f>cal!C9</f>
        <v>0</v>
      </c>
      <c r="D10" s="298">
        <f>cal!D9</f>
        <v>0</v>
      </c>
      <c r="E10" s="150">
        <v>75</v>
      </c>
      <c r="F10" s="99"/>
      <c r="G10" s="299" t="str">
        <f>cal!G9</f>
        <v>Inlet temp.</v>
      </c>
      <c r="H10" s="299">
        <f>cal!H9</f>
        <v>0</v>
      </c>
      <c r="I10" s="299">
        <f>cal!I9</f>
        <v>0</v>
      </c>
      <c r="J10" s="300">
        <f>cal!J9</f>
        <v>0</v>
      </c>
      <c r="K10" s="150">
        <v>16</v>
      </c>
      <c r="L10" s="97"/>
      <c r="M10" s="313" t="str">
        <f>cal!M9</f>
        <v>Unit conversion</v>
      </c>
      <c r="N10" s="314"/>
      <c r="O10" s="219"/>
      <c r="P10" s="223"/>
    </row>
    <row r="11" spans="2:19" ht="15" thickTop="1" x14ac:dyDescent="0.35">
      <c r="B11" s="296" t="str">
        <f>cal!B10</f>
        <v>Return temp.</v>
      </c>
      <c r="C11" s="297">
        <f>cal!C10</f>
        <v>0</v>
      </c>
      <c r="D11" s="298">
        <f>cal!D10</f>
        <v>0</v>
      </c>
      <c r="E11" s="150">
        <v>65</v>
      </c>
      <c r="F11" s="99"/>
      <c r="G11" s="299" t="str">
        <f>cal!G10</f>
        <v>Return temp.</v>
      </c>
      <c r="H11" s="299">
        <f>cal!H10</f>
        <v>0</v>
      </c>
      <c r="I11" s="299">
        <f>cal!I10</f>
        <v>0</v>
      </c>
      <c r="J11" s="300">
        <f>cal!J10</f>
        <v>0</v>
      </c>
      <c r="K11" s="150">
        <v>18</v>
      </c>
      <c r="L11" s="97"/>
      <c r="M11" s="325"/>
      <c r="N11" s="326"/>
      <c r="O11" s="220"/>
      <c r="P11" s="224"/>
    </row>
    <row r="12" spans="2:19" ht="14.5" x14ac:dyDescent="0.35">
      <c r="B12" s="296" t="str">
        <f>cal!B11</f>
        <v>Room temp.</v>
      </c>
      <c r="C12" s="297">
        <f>cal!C11</f>
        <v>0</v>
      </c>
      <c r="D12" s="298">
        <f>cal!D11</f>
        <v>0</v>
      </c>
      <c r="E12" s="150">
        <v>20</v>
      </c>
      <c r="F12" s="99"/>
      <c r="G12" s="299" t="str">
        <f>cal!G11</f>
        <v>Room temp.</v>
      </c>
      <c r="H12" s="299">
        <f>cal!H11</f>
        <v>0</v>
      </c>
      <c r="I12" s="299">
        <f>cal!I11</f>
        <v>0</v>
      </c>
      <c r="J12" s="300">
        <f>cal!J11</f>
        <v>0</v>
      </c>
      <c r="K12" s="150">
        <v>27</v>
      </c>
      <c r="L12" s="97"/>
      <c r="M12" s="327"/>
      <c r="N12" s="328"/>
      <c r="O12" s="220"/>
      <c r="P12" s="224"/>
    </row>
    <row r="13" spans="2:19" ht="14.5" x14ac:dyDescent="0.35">
      <c r="B13" s="100"/>
      <c r="C13" s="97"/>
      <c r="D13" s="97"/>
      <c r="E13" s="97"/>
      <c r="F13" s="97"/>
      <c r="G13" s="296" t="str">
        <f>cal!G12</f>
        <v>Relative humidity</v>
      </c>
      <c r="H13" s="297"/>
      <c r="I13" s="297"/>
      <c r="J13" s="298"/>
      <c r="K13" s="151">
        <v>0.5</v>
      </c>
      <c r="L13" s="97"/>
      <c r="M13" s="327"/>
      <c r="N13" s="328"/>
      <c r="O13" s="220"/>
      <c r="P13" s="224"/>
    </row>
    <row r="14" spans="2:19" ht="6" customHeight="1" x14ac:dyDescent="0.35">
      <c r="B14" s="101"/>
      <c r="C14" s="102"/>
      <c r="D14" s="102"/>
      <c r="E14" s="102"/>
      <c r="F14" s="103"/>
      <c r="G14" s="103"/>
      <c r="H14" s="103"/>
      <c r="I14" s="103"/>
      <c r="J14" s="103"/>
      <c r="K14" s="103"/>
      <c r="L14" s="103"/>
      <c r="M14" s="329"/>
      <c r="N14" s="330"/>
      <c r="O14" s="226"/>
      <c r="P14" s="225"/>
    </row>
    <row r="15" spans="2:19" ht="14.5" x14ac:dyDescent="0.35">
      <c r="B15" s="104"/>
      <c r="C15" s="104"/>
      <c r="D15" s="105">
        <f>cal!D14</f>
        <v>0</v>
      </c>
      <c r="E15" s="105">
        <f>cal!E14</f>
        <v>1</v>
      </c>
      <c r="F15" s="105">
        <f>cal!F14</f>
        <v>1</v>
      </c>
      <c r="G15" s="105">
        <v>3.4121416331000001</v>
      </c>
      <c r="H15" s="105">
        <f>cal!H14</f>
        <v>1</v>
      </c>
      <c r="I15" s="105">
        <f>cal!I14</f>
        <v>1</v>
      </c>
      <c r="J15" s="105">
        <f>cal!J14</f>
        <v>1</v>
      </c>
      <c r="K15" s="106">
        <f>cal!K14</f>
        <v>0</v>
      </c>
      <c r="L15" s="106">
        <f>cal!L14</f>
        <v>0</v>
      </c>
      <c r="M15" s="106">
        <f>cal!M14</f>
        <v>0</v>
      </c>
      <c r="N15" s="105">
        <f>cal!N14</f>
        <v>1</v>
      </c>
      <c r="O15" s="217"/>
      <c r="P15" s="217"/>
    </row>
    <row r="16" spans="2:19" s="107" customFormat="1" ht="103.75" customHeight="1" x14ac:dyDescent="0.35">
      <c r="B16" s="228" t="str">
        <f>cal!B15</f>
        <v>Speed level:</v>
      </c>
      <c r="C16" s="229" t="str">
        <f>cal!C15</f>
        <v>Control voltage [V]</v>
      </c>
      <c r="D16" s="230" t="str">
        <f>cal!D15</f>
        <v>Heat output * 75/65/20 [W]</v>
      </c>
      <c r="E16" s="231" t="str">
        <f>cal!E15</f>
        <v>Water flowrate, heating [l/h]</v>
      </c>
      <c r="F16" s="232" t="str">
        <f>cal!F15</f>
        <v>Watersided pressure loss [kPa]</v>
      </c>
      <c r="G16" s="245" t="str">
        <f>cal!G15</f>
        <v>Sens. cooling capacity * 16/18/27 [W]</v>
      </c>
      <c r="H16" s="244" t="str">
        <f>cal!H15</f>
        <v>Tot. cooling capacity 16/18/27 [W]</v>
      </c>
      <c r="I16" s="231" t="str">
        <f>cal!I15</f>
        <v>Water flowrate, cooling [l/h]</v>
      </c>
      <c r="J16" s="232" t="str">
        <f>cal!J15</f>
        <v>Watersided pressure loss [kPa]</v>
      </c>
      <c r="K16" s="233" t="str">
        <f>cal!K15</f>
        <v>Sound pressure *** [dB(A)]</v>
      </c>
      <c r="L16" s="234" t="str">
        <f>cal!L15</f>
        <v>Sound power ** [dB(A)]</v>
      </c>
      <c r="M16" s="239" t="str">
        <f>cal!M15</f>
        <v>Electrical power [W]</v>
      </c>
      <c r="N16" s="240" t="str">
        <f>cal!N15</f>
        <v>Air flowrate [m³/h]</v>
      </c>
      <c r="O16" s="235" t="str">
        <f>cal!O15</f>
        <v>Air exhaust temp. heating [°C]</v>
      </c>
      <c r="P16" s="243" t="str">
        <f>cal!P15</f>
        <v>Air exhaust temp. cooling [°C]</v>
      </c>
      <c r="S16" s="108"/>
    </row>
    <row r="17" spans="2:21" ht="15" customHeight="1" x14ac:dyDescent="0.35">
      <c r="B17" s="286" t="str">
        <f>cal!B16</f>
        <v>Freedom height 20 cm width 19 cm length 74 cm (Type 1)</v>
      </c>
      <c r="C17" s="287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1"/>
      <c r="Q17" s="160"/>
      <c r="R17" s="160"/>
      <c r="S17" s="161"/>
      <c r="T17" s="160"/>
      <c r="U17" s="160"/>
    </row>
    <row r="18" spans="2:21" ht="15" customHeight="1" x14ac:dyDescent="0.35">
      <c r="B18" s="110">
        <f>cal!B17</f>
        <v>0.2</v>
      </c>
      <c r="C18" s="111">
        <f>cal!C17</f>
        <v>2</v>
      </c>
      <c r="D18" s="162">
        <f>IF($E$10&lt;=$E$11,cal!$AC$3,cal!D17)</f>
        <v>312.70800000000003</v>
      </c>
      <c r="E18" s="163">
        <f>IF($E$10&lt;=$E$11,"",cal!E17)</f>
        <v>27</v>
      </c>
      <c r="F18" s="164">
        <f>IF($E$10&lt;=$E$11,"",cal!F17)</f>
        <v>0.10451976775750199</v>
      </c>
      <c r="G18" s="165">
        <f>IF($K$10&gt;=$K$11,cal!$AC$3,cal!G17)</f>
        <v>33.989999999999995</v>
      </c>
      <c r="H18" s="165">
        <f>IF($K$10&gt;=$K$11,"",cal!H17)</f>
        <v>33.989999999999995</v>
      </c>
      <c r="I18" s="163">
        <f>IF($K$10&gt;=$K$11,"",cal!I17)</f>
        <v>15</v>
      </c>
      <c r="J18" s="166">
        <f>IF($K$10&gt;=$K$11,"",cal!J17)</f>
        <v>3.5785331495427598E-2</v>
      </c>
      <c r="K18" s="167">
        <f>cal!K17</f>
        <v>14</v>
      </c>
      <c r="L18" s="168">
        <f>cal!L17</f>
        <v>22</v>
      </c>
      <c r="M18" s="169">
        <f>cal!M17</f>
        <v>0.5</v>
      </c>
      <c r="N18" s="170">
        <f>cal!N17</f>
        <v>24</v>
      </c>
      <c r="O18" s="165"/>
      <c r="P18" s="170"/>
      <c r="Q18" s="160"/>
      <c r="R18" s="160"/>
      <c r="S18" s="171"/>
      <c r="T18" s="160"/>
      <c r="U18" s="160"/>
    </row>
    <row r="19" spans="2:21" ht="15" customHeight="1" x14ac:dyDescent="0.35">
      <c r="B19" s="110">
        <f>cal!B18</f>
        <v>0.4</v>
      </c>
      <c r="C19" s="111">
        <f>cal!C18</f>
        <v>4</v>
      </c>
      <c r="D19" s="162">
        <f>IF($E$10&lt;=$E$11,cal!$AC$4,cal!D18)</f>
        <v>561.96799999999996</v>
      </c>
      <c r="E19" s="163">
        <f>IF($E$10&lt;=$E$11,"",cal!E18)</f>
        <v>48</v>
      </c>
      <c r="F19" s="164">
        <f>IF($E$10&lt;=$E$11,"",cal!F18)</f>
        <v>0.29843785011075069</v>
      </c>
      <c r="G19" s="165">
        <f>IF($K$10&gt;=$K$11,cal!$AC$5,cal!G18)</f>
        <v>74.777999999999977</v>
      </c>
      <c r="H19" s="165">
        <f>IF($K$10&gt;=$K$11,"",cal!H18)</f>
        <v>74.777999999999977</v>
      </c>
      <c r="I19" s="163">
        <f>IF($K$10&gt;=$K$11,"",cal!I18)</f>
        <v>32</v>
      </c>
      <c r="J19" s="166">
        <f>IF($K$10&gt;=$K$11,"",cal!J18)</f>
        <v>0.14247830750649948</v>
      </c>
      <c r="K19" s="167">
        <f>cal!K18</f>
        <v>15</v>
      </c>
      <c r="L19" s="168">
        <f>cal!L18</f>
        <v>23</v>
      </c>
      <c r="M19" s="169">
        <f>cal!M18</f>
        <v>0.8</v>
      </c>
      <c r="N19" s="170">
        <f>cal!N18</f>
        <v>37</v>
      </c>
      <c r="O19" s="165"/>
      <c r="P19" s="170"/>
      <c r="Q19" s="160"/>
      <c r="R19" s="160"/>
      <c r="S19" s="171"/>
      <c r="T19" s="160"/>
      <c r="U19" s="160"/>
    </row>
    <row r="20" spans="2:21" ht="15" customHeight="1" x14ac:dyDescent="0.35">
      <c r="B20" s="110">
        <f>cal!B19</f>
        <v>0.6</v>
      </c>
      <c r="C20" s="111">
        <f>cal!C19</f>
        <v>6</v>
      </c>
      <c r="D20" s="162">
        <f>IF($E$10&lt;=$E$11,"",cal!D19)</f>
        <v>791.96699999999998</v>
      </c>
      <c r="E20" s="163">
        <f>IF($E$10&lt;=$E$11,"",cal!E19)</f>
        <v>68</v>
      </c>
      <c r="F20" s="164">
        <f>IF($E$10&lt;=$E$11,"",cal!F19)</f>
        <v>0.56323919121960386</v>
      </c>
      <c r="G20" s="165">
        <f>IF($K$10&gt;=$K$11,"",cal!G19)</f>
        <v>117.83199999999997</v>
      </c>
      <c r="H20" s="165">
        <f>IF($K$10&gt;=$K$11,"",cal!H19)</f>
        <v>117.83199999999997</v>
      </c>
      <c r="I20" s="163">
        <f>IF($K$10&gt;=$K$11,"",cal!I19)</f>
        <v>51</v>
      </c>
      <c r="J20" s="166">
        <f>IF($K$10&gt;=$K$11,"",cal!J19)</f>
        <v>0.33332288556727424</v>
      </c>
      <c r="K20" s="167">
        <f>cal!K19</f>
        <v>23</v>
      </c>
      <c r="L20" s="168">
        <f>cal!L19</f>
        <v>31</v>
      </c>
      <c r="M20" s="169">
        <f>cal!M19</f>
        <v>1.3</v>
      </c>
      <c r="N20" s="170">
        <f>cal!N19</f>
        <v>52</v>
      </c>
      <c r="O20" s="165"/>
      <c r="P20" s="170"/>
      <c r="Q20" s="160"/>
      <c r="R20" s="160"/>
      <c r="S20" s="171"/>
      <c r="T20" s="160"/>
      <c r="U20" s="160"/>
    </row>
    <row r="21" spans="2:21" ht="15" customHeight="1" x14ac:dyDescent="0.35">
      <c r="B21" s="110">
        <f>cal!B20</f>
        <v>0.8</v>
      </c>
      <c r="C21" s="111">
        <f>cal!C20</f>
        <v>8</v>
      </c>
      <c r="D21" s="162">
        <f>IF($E$10&lt;=$E$11,"",cal!D20)</f>
        <v>1009.503</v>
      </c>
      <c r="E21" s="163">
        <f>IF($E$10&lt;=$E$11,"",cal!E20)</f>
        <v>87</v>
      </c>
      <c r="F21" s="164">
        <f>IF($E$10&lt;=$E$11,"",cal!F20)</f>
        <v>0.88273000450333838</v>
      </c>
      <c r="G21" s="165">
        <f>IF($K$10&gt;=$K$11,"",cal!G20)</f>
        <v>163.15199999999993</v>
      </c>
      <c r="H21" s="165">
        <f>IF($K$10&gt;=$K$11,"",cal!H20)</f>
        <v>163.15199999999993</v>
      </c>
      <c r="I21" s="163">
        <f>IF($K$10&gt;=$K$11,"",cal!I20)</f>
        <v>70</v>
      </c>
      <c r="J21" s="166">
        <f>IF($K$10&gt;=$K$11,"",cal!J20)</f>
        <v>0.59381250082624693</v>
      </c>
      <c r="K21" s="167">
        <f>cal!K20</f>
        <v>28</v>
      </c>
      <c r="L21" s="168">
        <f>cal!L20</f>
        <v>36</v>
      </c>
      <c r="M21" s="169">
        <f>cal!M20</f>
        <v>2.1</v>
      </c>
      <c r="N21" s="170">
        <f>cal!N20</f>
        <v>68</v>
      </c>
      <c r="O21" s="165"/>
      <c r="P21" s="170"/>
      <c r="Q21" s="160"/>
      <c r="R21" s="160"/>
      <c r="S21" s="171"/>
      <c r="T21" s="160"/>
      <c r="U21" s="160"/>
    </row>
    <row r="22" spans="2:21" ht="15" customHeight="1" x14ac:dyDescent="0.35">
      <c r="B22" s="110">
        <f>cal!B21</f>
        <v>1</v>
      </c>
      <c r="C22" s="111">
        <f>cal!C21</f>
        <v>10</v>
      </c>
      <c r="D22" s="162">
        <f>IF($E$10&lt;=$E$11,"",cal!D21)</f>
        <v>1217.9749999999999</v>
      </c>
      <c r="E22" s="163">
        <f>IF($E$10&lt;=$E$11,"",cal!E21)</f>
        <v>105</v>
      </c>
      <c r="F22" s="164">
        <f>IF($E$10&lt;=$E$11,"",cal!F21)</f>
        <v>1.2438112805866202</v>
      </c>
      <c r="G22" s="165">
        <f>IF($K$10&gt;=$K$11,"",cal!G21)</f>
        <v>209.60499999999993</v>
      </c>
      <c r="H22" s="165">
        <f>IF($K$10&gt;=$K$11,"",cal!H21)</f>
        <v>209.60499999999993</v>
      </c>
      <c r="I22" s="163">
        <f>IF($K$10&gt;=$K$11,"",cal!I21)</f>
        <v>90</v>
      </c>
      <c r="J22" s="166">
        <f>IF($K$10&gt;=$K$11,"",cal!J21)</f>
        <v>0.93902245345157098</v>
      </c>
      <c r="K22" s="167">
        <f>cal!K21</f>
        <v>34</v>
      </c>
      <c r="L22" s="168">
        <f>cal!L21</f>
        <v>42</v>
      </c>
      <c r="M22" s="169">
        <f>cal!M21</f>
        <v>3</v>
      </c>
      <c r="N22" s="170">
        <f>cal!N21</f>
        <v>79</v>
      </c>
      <c r="O22" s="165"/>
      <c r="P22" s="170"/>
      <c r="Q22" s="160"/>
      <c r="R22" s="160"/>
      <c r="S22" s="171"/>
      <c r="T22" s="160"/>
      <c r="U22" s="160"/>
    </row>
    <row r="23" spans="2:21" ht="15" customHeight="1" x14ac:dyDescent="0.35">
      <c r="B23" s="286" t="str">
        <f>cal!B22</f>
        <v>Freedom height 20 cm width 19 cm length 110 cm (Type 2)</v>
      </c>
      <c r="C23" s="287"/>
      <c r="D23" s="290"/>
      <c r="E23" s="290"/>
      <c r="F23" s="290"/>
      <c r="G23" s="290"/>
      <c r="H23" s="290"/>
      <c r="I23" s="290"/>
      <c r="J23" s="290"/>
      <c r="K23" s="290"/>
      <c r="L23" s="290"/>
      <c r="M23" s="290"/>
      <c r="N23" s="290"/>
      <c r="O23" s="290"/>
      <c r="P23" s="291"/>
      <c r="Q23" s="160"/>
      <c r="R23" s="160"/>
      <c r="S23" s="161"/>
      <c r="T23" s="160"/>
      <c r="U23" s="160"/>
    </row>
    <row r="24" spans="2:21" ht="15" customHeight="1" x14ac:dyDescent="0.35">
      <c r="B24" s="110">
        <f>cal!B23</f>
        <v>0.2</v>
      </c>
      <c r="C24" s="111">
        <f>cal!C23</f>
        <v>2</v>
      </c>
      <c r="D24" s="162">
        <f>IF($E$10&lt;=$E$11,cal!$AC$3,cal!D23)</f>
        <v>625.33100000000002</v>
      </c>
      <c r="E24" s="163">
        <f>IF($E$10&lt;=$E$11,"",cal!E23)</f>
        <v>54</v>
      </c>
      <c r="F24" s="164">
        <f>IF($E$10&lt;=$E$11,"",cal!F23)</f>
        <v>0.57982211611847723</v>
      </c>
      <c r="G24" s="165">
        <f>IF($K$10&gt;=$K$11,cal!$AC$3,cal!G23)</f>
        <v>68.137999999999977</v>
      </c>
      <c r="H24" s="165">
        <f>IF($K$10&gt;=$K$11,"",cal!H23)</f>
        <v>68.137999999999977</v>
      </c>
      <c r="I24" s="163">
        <f>IF($K$10&gt;=$K$11,"",cal!I23)</f>
        <v>29</v>
      </c>
      <c r="J24" s="166">
        <f>IF($K$10&gt;=$K$11,"",cal!J23)</f>
        <v>0.18661789951710783</v>
      </c>
      <c r="K24" s="167">
        <f>cal!K23</f>
        <v>15</v>
      </c>
      <c r="L24" s="168">
        <f>cal!L23</f>
        <v>23</v>
      </c>
      <c r="M24" s="169">
        <f>cal!M23</f>
        <v>0.6</v>
      </c>
      <c r="N24" s="170">
        <f>cal!N23</f>
        <v>42</v>
      </c>
      <c r="O24" s="165"/>
      <c r="P24" s="170"/>
      <c r="Q24" s="160"/>
      <c r="R24" s="160"/>
      <c r="S24" s="171"/>
      <c r="T24" s="160"/>
      <c r="U24" s="160"/>
    </row>
    <row r="25" spans="2:21" ht="15" customHeight="1" x14ac:dyDescent="0.35">
      <c r="B25" s="110">
        <f>cal!B24</f>
        <v>0.4</v>
      </c>
      <c r="C25" s="111">
        <f>cal!C24</f>
        <v>4</v>
      </c>
      <c r="D25" s="162">
        <f>IF($E$10&lt;=$E$11,cal!$AC$4,cal!D24)</f>
        <v>1122.079</v>
      </c>
      <c r="E25" s="163">
        <f>IF($E$10&lt;=$E$11,"",cal!E24)</f>
        <v>96</v>
      </c>
      <c r="F25" s="164">
        <f>IF($E$10&lt;=$E$11,"",cal!F24)</f>
        <v>1.6555802743700996</v>
      </c>
      <c r="G25" s="165">
        <f>IF($K$10&gt;=$K$11,cal!$AC$5,cal!G24)</f>
        <v>148.36499999999995</v>
      </c>
      <c r="H25" s="165">
        <f>IF($K$10&gt;=$K$11,"",cal!H24)</f>
        <v>148.36499999999995</v>
      </c>
      <c r="I25" s="163">
        <f>IF($K$10&gt;=$K$11,"",cal!I24)</f>
        <v>64</v>
      </c>
      <c r="J25" s="166">
        <f>IF($K$10&gt;=$K$11,"",cal!J24)</f>
        <v>0.79039664488221262</v>
      </c>
      <c r="K25" s="167">
        <f>cal!K24</f>
        <v>19</v>
      </c>
      <c r="L25" s="168">
        <f>cal!L24</f>
        <v>27</v>
      </c>
      <c r="M25" s="169">
        <f>cal!M24</f>
        <v>1.3</v>
      </c>
      <c r="N25" s="170">
        <f>cal!N24</f>
        <v>75</v>
      </c>
      <c r="O25" s="165"/>
      <c r="P25" s="170"/>
      <c r="Q25" s="160"/>
      <c r="R25" s="160"/>
      <c r="S25" s="171"/>
      <c r="T25" s="160"/>
      <c r="U25" s="160"/>
    </row>
    <row r="26" spans="2:21" ht="15" customHeight="1" x14ac:dyDescent="0.35">
      <c r="B26" s="110">
        <f>cal!B25</f>
        <v>0.6</v>
      </c>
      <c r="C26" s="111">
        <f>cal!C25</f>
        <v>6</v>
      </c>
      <c r="D26" s="162">
        <f>IF($E$10&lt;=$E$11,"",cal!D25)</f>
        <v>1580.3620000000001</v>
      </c>
      <c r="E26" s="163">
        <f>IF($E$10&lt;=$E$11,"",cal!E25)</f>
        <v>136</v>
      </c>
      <c r="F26" s="164">
        <f>IF($E$10&lt;=$E$11,"",cal!F25)</f>
        <v>3.1245624319746947</v>
      </c>
      <c r="G26" s="165">
        <f>IF($K$10&gt;=$K$11,"",cal!G25)</f>
        <v>235.18599999999992</v>
      </c>
      <c r="H26" s="165">
        <f>IF($K$10&gt;=$K$11,"",cal!H25)</f>
        <v>235.18599999999992</v>
      </c>
      <c r="I26" s="163">
        <f>IF($K$10&gt;=$K$11,"",cal!I25)</f>
        <v>101</v>
      </c>
      <c r="J26" s="166">
        <f>IF($K$10&gt;=$K$11,"",cal!J25)</f>
        <v>1.816180542521981</v>
      </c>
      <c r="K26" s="167">
        <f>cal!K25</f>
        <v>29</v>
      </c>
      <c r="L26" s="168">
        <f>cal!L25</f>
        <v>37</v>
      </c>
      <c r="M26" s="169">
        <f>cal!M25</f>
        <v>2.7</v>
      </c>
      <c r="N26" s="170">
        <f>cal!N25</f>
        <v>98</v>
      </c>
      <c r="O26" s="165"/>
      <c r="P26" s="170"/>
      <c r="Q26" s="160"/>
      <c r="R26" s="160"/>
      <c r="S26" s="171"/>
      <c r="T26" s="160"/>
      <c r="U26" s="160"/>
    </row>
    <row r="27" spans="2:21" ht="15" customHeight="1" x14ac:dyDescent="0.35">
      <c r="B27" s="110">
        <f>cal!B26</f>
        <v>0.8</v>
      </c>
      <c r="C27" s="111">
        <f>cal!C26</f>
        <v>8</v>
      </c>
      <c r="D27" s="162">
        <f>IF($E$10&lt;=$E$11,"",cal!D26)</f>
        <v>2015.566</v>
      </c>
      <c r="E27" s="163">
        <f>IF($E$10&lt;=$E$11,"",cal!E26)</f>
        <v>173</v>
      </c>
      <c r="F27" s="164">
        <f>IF($E$10&lt;=$E$11,"",cal!F26)</f>
        <v>4.8457355024670399</v>
      </c>
      <c r="G27" s="165">
        <f>IF($K$10&gt;=$K$11,"",cal!G26)</f>
        <v>325.30399999999986</v>
      </c>
      <c r="H27" s="165">
        <f>IF($K$10&gt;=$K$11,"",cal!H26)</f>
        <v>325.30399999999986</v>
      </c>
      <c r="I27" s="163">
        <f>IF($K$10&gt;=$K$11,"",cal!I26)</f>
        <v>140</v>
      </c>
      <c r="J27" s="166">
        <f>IF($K$10&gt;=$K$11,"",cal!J26)</f>
        <v>3.2941674880631955</v>
      </c>
      <c r="K27" s="167">
        <f>cal!K26</f>
        <v>32</v>
      </c>
      <c r="L27" s="168">
        <f>cal!L26</f>
        <v>40</v>
      </c>
      <c r="M27" s="169">
        <f>cal!M26</f>
        <v>4.5999999999999996</v>
      </c>
      <c r="N27" s="170">
        <f>cal!N26</f>
        <v>125</v>
      </c>
      <c r="O27" s="165"/>
      <c r="P27" s="170"/>
      <c r="Q27" s="160"/>
      <c r="R27" s="160"/>
      <c r="S27" s="171"/>
      <c r="T27" s="160"/>
      <c r="U27" s="160"/>
    </row>
    <row r="28" spans="2:21" ht="15" customHeight="1" x14ac:dyDescent="0.35">
      <c r="B28" s="110">
        <f>cal!B27</f>
        <v>1</v>
      </c>
      <c r="C28" s="111">
        <f>cal!C27</f>
        <v>10</v>
      </c>
      <c r="D28" s="162">
        <f>IF($E$10&lt;=$E$11,"",cal!D27)</f>
        <v>2433.1860000000001</v>
      </c>
      <c r="E28" s="163">
        <f>IF($E$10&lt;=$E$11,"",cal!E27)</f>
        <v>209</v>
      </c>
      <c r="F28" s="164">
        <f>IF($E$10&lt;=$E$11,"",cal!F27)</f>
        <v>6.8402294226660212</v>
      </c>
      <c r="G28" s="165">
        <f>IF($K$10&gt;=$K$11,"",cal!G27)</f>
        <v>418.71899999999988</v>
      </c>
      <c r="H28" s="165">
        <f>IF($K$10&gt;=$K$11,"",cal!H27)</f>
        <v>418.71899999999988</v>
      </c>
      <c r="I28" s="163">
        <f>IF($K$10&gt;=$K$11,"",cal!I27)</f>
        <v>180</v>
      </c>
      <c r="J28" s="166">
        <f>IF($K$10&gt;=$K$11,"",cal!J27)</f>
        <v>5.2092154213954833</v>
      </c>
      <c r="K28" s="167">
        <f>cal!K27</f>
        <v>37</v>
      </c>
      <c r="L28" s="168">
        <f>cal!L27</f>
        <v>45</v>
      </c>
      <c r="M28" s="169">
        <f>cal!M27</f>
        <v>7.1</v>
      </c>
      <c r="N28" s="170">
        <f>cal!N27</f>
        <v>160</v>
      </c>
      <c r="O28" s="165"/>
      <c r="P28" s="170"/>
      <c r="Q28" s="160"/>
      <c r="R28" s="160"/>
      <c r="S28" s="171"/>
      <c r="T28" s="160"/>
      <c r="U28" s="160"/>
    </row>
    <row r="29" spans="2:21" ht="15" customHeight="1" x14ac:dyDescent="0.35">
      <c r="B29" s="286" t="str">
        <f>cal!B28</f>
        <v>Freedom height 20 cm width 19 cm length 145 cm (Type 3)</v>
      </c>
      <c r="C29" s="287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1"/>
      <c r="Q29" s="160"/>
      <c r="R29" s="160"/>
      <c r="S29" s="161"/>
      <c r="T29" s="160"/>
      <c r="U29" s="160"/>
    </row>
    <row r="30" spans="2:21" ht="15" customHeight="1" x14ac:dyDescent="0.35">
      <c r="B30" s="110">
        <f>cal!B29</f>
        <v>0.2</v>
      </c>
      <c r="C30" s="111">
        <f>cal!C29</f>
        <v>2</v>
      </c>
      <c r="D30" s="162">
        <f>IF($E$10&lt;=$E$11,cal!$AC$3,cal!D29)</f>
        <v>939.59399999999994</v>
      </c>
      <c r="E30" s="163">
        <f>IF($E$10&lt;=$E$11,"",cal!E29)</f>
        <v>81</v>
      </c>
      <c r="F30" s="164">
        <f>IF($E$10&lt;=$E$11,"",cal!F29)</f>
        <v>1.6934195841714439</v>
      </c>
      <c r="G30" s="165">
        <f>IF($K$10&gt;=$K$11,cal!$AC$3,cal!G29)</f>
        <v>101.94699999999996</v>
      </c>
      <c r="H30" s="165">
        <f>IF($K$10&gt;=$K$11,"",cal!H29)</f>
        <v>101.94699999999996</v>
      </c>
      <c r="I30" s="163">
        <f>IF($K$10&gt;=$K$11,"",cal!I29)</f>
        <v>44</v>
      </c>
      <c r="J30" s="166">
        <f>IF($K$10&gt;=$K$11,"",cal!J29)</f>
        <v>0.55651127957010016</v>
      </c>
      <c r="K30" s="167">
        <f>cal!K29</f>
        <v>16</v>
      </c>
      <c r="L30" s="168">
        <f>cal!L29</f>
        <v>24</v>
      </c>
      <c r="M30" s="169">
        <f>cal!M29</f>
        <v>1.1000000000000001</v>
      </c>
      <c r="N30" s="170">
        <f>cal!N29</f>
        <v>66</v>
      </c>
      <c r="O30" s="165"/>
      <c r="P30" s="170"/>
      <c r="Q30" s="160"/>
      <c r="R30" s="160"/>
      <c r="S30" s="171"/>
      <c r="T30" s="160"/>
      <c r="U30" s="160"/>
    </row>
    <row r="31" spans="2:21" ht="15" customHeight="1" x14ac:dyDescent="0.35">
      <c r="B31" s="110">
        <f>cal!B30</f>
        <v>0.4</v>
      </c>
      <c r="C31" s="111">
        <f>cal!C30</f>
        <v>4</v>
      </c>
      <c r="D31" s="162">
        <f>IF($E$10&lt;=$E$11,cal!$AC$4,cal!D30)</f>
        <v>1686.8549999999998</v>
      </c>
      <c r="E31" s="163">
        <f>IF($E$10&lt;=$E$11,"",cal!E30)</f>
        <v>145</v>
      </c>
      <c r="F31" s="164">
        <f>IF($E$10&lt;=$E$11,"",cal!F30)</f>
        <v>4.8966677742137579</v>
      </c>
      <c r="G31" s="165">
        <f>IF($K$10&gt;=$K$11,cal!$AC$5,cal!G30)</f>
        <v>222.81199999999993</v>
      </c>
      <c r="H31" s="165">
        <f>IF($K$10&gt;=$K$11,"",cal!H30)</f>
        <v>222.81199999999993</v>
      </c>
      <c r="I31" s="163">
        <f>IF($K$10&gt;=$K$11,"",cal!I30)</f>
        <v>96</v>
      </c>
      <c r="J31" s="166">
        <f>IF($K$10&gt;=$K$11,"",cal!J30)</f>
        <v>2.3084203249560846</v>
      </c>
      <c r="K31" s="167">
        <f>cal!K30</f>
        <v>20</v>
      </c>
      <c r="L31" s="168">
        <f>cal!L30</f>
        <v>28</v>
      </c>
      <c r="M31" s="169">
        <f>cal!M30</f>
        <v>2.1</v>
      </c>
      <c r="N31" s="170">
        <f>cal!N30</f>
        <v>112</v>
      </c>
      <c r="O31" s="165"/>
      <c r="P31" s="170"/>
      <c r="Q31" s="160"/>
      <c r="R31" s="160"/>
      <c r="S31" s="171"/>
      <c r="T31" s="160"/>
      <c r="U31" s="160"/>
    </row>
    <row r="32" spans="2:21" ht="15" customHeight="1" x14ac:dyDescent="0.35">
      <c r="B32" s="110">
        <f>cal!B31</f>
        <v>0.6</v>
      </c>
      <c r="C32" s="111">
        <f>cal!C31</f>
        <v>6</v>
      </c>
      <c r="D32" s="162">
        <f>IF($E$10&lt;=$E$11,"",cal!D31)</f>
        <v>2375.2599999999998</v>
      </c>
      <c r="E32" s="163">
        <f>IF($E$10&lt;=$E$11,"",cal!E31)</f>
        <v>204</v>
      </c>
      <c r="F32" s="164">
        <f>IF($E$10&lt;=$E$11,"",cal!F31)</f>
        <v>9.1255491420253509</v>
      </c>
      <c r="G32" s="165">
        <f>IF($K$10&gt;=$K$11,"",cal!G31)</f>
        <v>353.13599999999991</v>
      </c>
      <c r="H32" s="165">
        <f>IF($K$10&gt;=$K$11,"",cal!H31)</f>
        <v>353.13599999999991</v>
      </c>
      <c r="I32" s="163">
        <f>IF($K$10&gt;=$K$11,"",cal!I31)</f>
        <v>152</v>
      </c>
      <c r="J32" s="166">
        <f>IF($K$10&gt;=$K$11,"",cal!J31)</f>
        <v>5.3362748341298465</v>
      </c>
      <c r="K32" s="167">
        <f>cal!K31</f>
        <v>30</v>
      </c>
      <c r="L32" s="168">
        <f>cal!L31</f>
        <v>38</v>
      </c>
      <c r="M32" s="169">
        <f>cal!M31</f>
        <v>4</v>
      </c>
      <c r="N32" s="170">
        <f>cal!N31</f>
        <v>150</v>
      </c>
      <c r="O32" s="165"/>
      <c r="P32" s="170"/>
      <c r="Q32" s="160"/>
      <c r="R32" s="160"/>
      <c r="S32" s="171"/>
      <c r="T32" s="160"/>
      <c r="U32" s="160"/>
    </row>
    <row r="33" spans="2:21" ht="15" customHeight="1" x14ac:dyDescent="0.35">
      <c r="B33" s="110">
        <f>cal!B32</f>
        <v>0.8</v>
      </c>
      <c r="C33" s="111">
        <f>cal!C32</f>
        <v>8</v>
      </c>
      <c r="D33" s="162">
        <f>IF($E$10&lt;=$E$11,"",cal!D32)</f>
        <v>3027.9309999999996</v>
      </c>
      <c r="E33" s="163">
        <f>IF($E$10&lt;=$E$11,"",cal!E32)</f>
        <v>260</v>
      </c>
      <c r="F33" s="164">
        <f>IF($E$10&lt;=$E$11,"",cal!F32)</f>
        <v>14.202144910847871</v>
      </c>
      <c r="G33" s="165">
        <f>IF($K$10&gt;=$K$11,"",cal!G32)</f>
        <v>488.7149999999998</v>
      </c>
      <c r="H33" s="165">
        <f>IF($K$10&gt;=$K$11,"",cal!H32)</f>
        <v>488.7149999999998</v>
      </c>
      <c r="I33" s="163">
        <f>IF($K$10&gt;=$K$11,"",cal!I32)</f>
        <v>210</v>
      </c>
      <c r="J33" s="166">
        <f>IF($K$10&gt;=$K$11,"",cal!J32)</f>
        <v>9.6208950689407811</v>
      </c>
      <c r="K33" s="167">
        <f>cal!K32</f>
        <v>35</v>
      </c>
      <c r="L33" s="168">
        <f>cal!L32</f>
        <v>43</v>
      </c>
      <c r="M33" s="169">
        <f>cal!M32</f>
        <v>6.6</v>
      </c>
      <c r="N33" s="170">
        <f>cal!N32</f>
        <v>193</v>
      </c>
      <c r="O33" s="165"/>
      <c r="P33" s="170"/>
      <c r="Q33" s="160"/>
      <c r="R33" s="160"/>
      <c r="S33" s="171"/>
      <c r="T33" s="160"/>
      <c r="U33" s="160"/>
    </row>
    <row r="34" spans="2:21" ht="15" customHeight="1" x14ac:dyDescent="0.35">
      <c r="B34" s="110">
        <f>cal!B33</f>
        <v>1</v>
      </c>
      <c r="C34" s="111">
        <f>cal!C33</f>
        <v>10</v>
      </c>
      <c r="D34" s="162">
        <f>IF($E$10&lt;=$E$11,"",cal!D33)</f>
        <v>3656.4289999999996</v>
      </c>
      <c r="E34" s="163">
        <f>IF($E$10&lt;=$E$11,"",cal!E33)</f>
        <v>314</v>
      </c>
      <c r="F34" s="164">
        <f>IF($E$10&lt;=$E$11,"",cal!F33)</f>
        <v>20.035608188600499</v>
      </c>
      <c r="G34" s="165">
        <f>IF($K$10&gt;=$K$11,"",cal!G33)</f>
        <v>628.49799999999971</v>
      </c>
      <c r="H34" s="165">
        <f>IF($K$10&gt;=$K$11,"",cal!H33)</f>
        <v>628.49799999999971</v>
      </c>
      <c r="I34" s="163">
        <f>IF($K$10&gt;=$K$11,"",cal!I33)</f>
        <v>270</v>
      </c>
      <c r="J34" s="166">
        <f>IF($K$10&gt;=$K$11,"",cal!J33)</f>
        <v>15.213954707026911</v>
      </c>
      <c r="K34" s="167">
        <f>cal!K33</f>
        <v>39</v>
      </c>
      <c r="L34" s="168">
        <f>cal!L33</f>
        <v>47</v>
      </c>
      <c r="M34" s="169">
        <f>cal!M33</f>
        <v>10.1</v>
      </c>
      <c r="N34" s="170">
        <f>cal!N33</f>
        <v>239</v>
      </c>
      <c r="O34" s="165"/>
      <c r="P34" s="170"/>
      <c r="Q34" s="160"/>
      <c r="R34" s="160"/>
      <c r="S34" s="171"/>
      <c r="T34" s="160"/>
      <c r="U34" s="160"/>
    </row>
    <row r="35" spans="2:21" ht="15" customHeight="1" x14ac:dyDescent="0.35">
      <c r="B35" s="286" t="str">
        <f>cal!B34</f>
        <v>Freedom height 20 cm width 19 cm length 181 cm (Type 4)</v>
      </c>
      <c r="C35" s="287"/>
      <c r="D35" s="290"/>
      <c r="E35" s="290"/>
      <c r="F35" s="290"/>
      <c r="G35" s="290"/>
      <c r="H35" s="290"/>
      <c r="I35" s="290"/>
      <c r="J35" s="290"/>
      <c r="K35" s="290"/>
      <c r="L35" s="290"/>
      <c r="M35" s="290"/>
      <c r="N35" s="290"/>
      <c r="O35" s="290"/>
      <c r="P35" s="291"/>
      <c r="Q35" s="160"/>
      <c r="R35" s="160"/>
      <c r="S35" s="161"/>
      <c r="T35" s="160"/>
      <c r="U35" s="160"/>
    </row>
    <row r="36" spans="2:21" ht="15" customHeight="1" x14ac:dyDescent="0.35">
      <c r="B36" s="110">
        <f>cal!B35</f>
        <v>0.2</v>
      </c>
      <c r="C36" s="111">
        <f>cal!C35</f>
        <v>2</v>
      </c>
      <c r="D36" s="162">
        <f>IF($E$10&lt;=$E$11,cal!$AC$3,cal!D35)</f>
        <v>1253.1320000000001</v>
      </c>
      <c r="E36" s="163">
        <f>IF($E$10&lt;=$E$11,"",cal!E35)</f>
        <v>108</v>
      </c>
      <c r="F36" s="164">
        <f>IF($E$10&lt;=$E$11,"",cal!F35)</f>
        <v>3.7770275170313137</v>
      </c>
      <c r="G36" s="165">
        <f>IF($K$10&gt;=$K$11,cal!$AC$3,cal!G35)</f>
        <v>135.69599999999997</v>
      </c>
      <c r="H36" s="165">
        <f>IF($K$10&gt;=$K$11,"",cal!H35)</f>
        <v>135.69599999999997</v>
      </c>
      <c r="I36" s="163">
        <f>IF($K$10&gt;=$K$11,"",cal!I35)</f>
        <v>58</v>
      </c>
      <c r="J36" s="166">
        <f>IF($K$10&gt;=$K$11,"",cal!J35)</f>
        <v>1.215650321111023</v>
      </c>
      <c r="K36" s="167">
        <f>cal!K35</f>
        <v>18</v>
      </c>
      <c r="L36" s="168">
        <f>cal!L35</f>
        <v>26</v>
      </c>
      <c r="M36" s="169">
        <f>cal!M35</f>
        <v>1.2</v>
      </c>
      <c r="N36" s="170">
        <f>cal!N35</f>
        <v>84</v>
      </c>
      <c r="O36" s="165"/>
      <c r="P36" s="170"/>
      <c r="Q36" s="160"/>
      <c r="R36" s="160"/>
      <c r="S36" s="171"/>
      <c r="T36" s="160"/>
      <c r="U36" s="160"/>
    </row>
    <row r="37" spans="2:21" ht="15" customHeight="1" x14ac:dyDescent="0.35">
      <c r="B37" s="110">
        <f>cal!B36</f>
        <v>0.4</v>
      </c>
      <c r="C37" s="111">
        <f>cal!C36</f>
        <v>4</v>
      </c>
      <c r="D37" s="162">
        <f>IF($E$10&lt;=$E$11,cal!$AC$4,cal!D36)</f>
        <v>2249.2640000000001</v>
      </c>
      <c r="E37" s="163">
        <f>IF($E$10&lt;=$E$11,"",cal!E36)</f>
        <v>193</v>
      </c>
      <c r="F37" s="164">
        <f>IF($E$10&lt;=$E$11,"",cal!F36)</f>
        <v>10.88728553624024</v>
      </c>
      <c r="G37" s="165">
        <f>IF($K$10&gt;=$K$11,cal!$AC$5,cal!G36)</f>
        <v>298.11999999999995</v>
      </c>
      <c r="H37" s="165">
        <f>IF($K$10&gt;=$K$11,"",cal!H36)</f>
        <v>298.11999999999995</v>
      </c>
      <c r="I37" s="163">
        <f>IF($K$10&gt;=$K$11,"",cal!I36)</f>
        <v>128</v>
      </c>
      <c r="J37" s="166">
        <f>IF($K$10&gt;=$K$11,"",cal!J36)</f>
        <v>5.1487340584285928</v>
      </c>
      <c r="K37" s="167">
        <f>cal!K36</f>
        <v>22</v>
      </c>
      <c r="L37" s="168">
        <f>cal!L36</f>
        <v>30</v>
      </c>
      <c r="M37" s="169">
        <f>cal!M36</f>
        <v>2.5</v>
      </c>
      <c r="N37" s="170">
        <f>cal!N36</f>
        <v>150</v>
      </c>
      <c r="O37" s="165"/>
      <c r="P37" s="170"/>
      <c r="Q37" s="160"/>
      <c r="R37" s="160"/>
      <c r="S37" s="171"/>
      <c r="T37" s="160"/>
      <c r="U37" s="160"/>
    </row>
    <row r="38" spans="2:21" ht="15" customHeight="1" x14ac:dyDescent="0.35">
      <c r="B38" s="110">
        <f>cal!B37</f>
        <v>0.6</v>
      </c>
      <c r="C38" s="111">
        <f>cal!C37</f>
        <v>6</v>
      </c>
      <c r="D38" s="162">
        <f>IF($E$10&lt;=$E$11,"",cal!D37)</f>
        <v>3168.2960000000003</v>
      </c>
      <c r="E38" s="163">
        <f>IF($E$10&lt;=$E$11,"",cal!E37)</f>
        <v>272</v>
      </c>
      <c r="F38" s="164">
        <f>IF($E$10&lt;=$E$11,"",cal!F37)</f>
        <v>20.353756706029522</v>
      </c>
      <c r="G38" s="165">
        <f>IF($K$10&gt;=$K$11,"",cal!G37)</f>
        <v>470.8239999999999</v>
      </c>
      <c r="H38" s="165">
        <f>IF($K$10&gt;=$K$11,"",cal!H37)</f>
        <v>470.8239999999999</v>
      </c>
      <c r="I38" s="163">
        <f>IF($K$10&gt;=$K$11,"",cal!I37)</f>
        <v>202</v>
      </c>
      <c r="J38" s="166">
        <f>IF($K$10&gt;=$K$11,"",cal!J37)</f>
        <v>11.830807577544526</v>
      </c>
      <c r="K38" s="167">
        <f>cal!K37</f>
        <v>32</v>
      </c>
      <c r="L38" s="168">
        <f>cal!L37</f>
        <v>40</v>
      </c>
      <c r="M38" s="169">
        <f>cal!M37</f>
        <v>5.4</v>
      </c>
      <c r="N38" s="170">
        <f>cal!N37</f>
        <v>196</v>
      </c>
      <c r="O38" s="165"/>
      <c r="P38" s="170"/>
      <c r="Q38" s="160"/>
      <c r="R38" s="160"/>
      <c r="S38" s="171"/>
      <c r="T38" s="160"/>
      <c r="U38" s="160"/>
    </row>
    <row r="39" spans="2:21" ht="15" customHeight="1" x14ac:dyDescent="0.35">
      <c r="B39" s="110">
        <f>cal!B38</f>
        <v>0.8</v>
      </c>
      <c r="C39" s="111">
        <f>cal!C38</f>
        <v>8</v>
      </c>
      <c r="D39" s="162">
        <f>IF($E$10&lt;=$E$11,"",cal!D38)</f>
        <v>4039.0120000000002</v>
      </c>
      <c r="E39" s="163">
        <f>IF($E$10&lt;=$E$11,"",cal!E38)</f>
        <v>347</v>
      </c>
      <c r="F39" s="164">
        <f>IF($E$10&lt;=$E$11,"",cal!F38)</f>
        <v>31.732232524165788</v>
      </c>
      <c r="G39" s="165">
        <f>IF($K$10&gt;=$K$11,"",cal!G38)</f>
        <v>651.75199999999973</v>
      </c>
      <c r="H39" s="165">
        <f>IF($K$10&gt;=$K$11,"",cal!H38)</f>
        <v>651.75199999999973</v>
      </c>
      <c r="I39" s="163">
        <f>IF($K$10&gt;=$K$11,"",cal!I38)</f>
        <v>280</v>
      </c>
      <c r="J39" s="166">
        <f>IF($K$10&gt;=$K$11,"",cal!J38)</f>
        <v>21.458583421095753</v>
      </c>
      <c r="K39" s="167">
        <f>cal!K38</f>
        <v>37</v>
      </c>
      <c r="L39" s="168">
        <f>cal!L38</f>
        <v>45</v>
      </c>
      <c r="M39" s="169">
        <f>cal!M38</f>
        <v>9.1</v>
      </c>
      <c r="N39" s="170">
        <f>cal!N38</f>
        <v>250</v>
      </c>
      <c r="O39" s="165"/>
      <c r="P39" s="170"/>
      <c r="Q39" s="160"/>
      <c r="R39" s="160"/>
      <c r="S39" s="171"/>
      <c r="T39" s="160"/>
      <c r="U39" s="160"/>
    </row>
    <row r="40" spans="2:21" ht="15" customHeight="1" x14ac:dyDescent="0.35">
      <c r="B40" s="110">
        <f>cal!B39</f>
        <v>1</v>
      </c>
      <c r="C40" s="111">
        <f>cal!C39</f>
        <v>10</v>
      </c>
      <c r="D40" s="162">
        <f>IF($E$10&lt;=$E$11,"",cal!D39)</f>
        <v>4876.8320000000003</v>
      </c>
      <c r="E40" s="163">
        <f>IF($E$10&lt;=$E$11,"",cal!E39)</f>
        <v>419</v>
      </c>
      <c r="F40" s="164">
        <f>IF($E$10&lt;=$E$11,"",cal!F39)</f>
        <v>44.752610931641868</v>
      </c>
      <c r="G40" s="165">
        <f>IF($K$10&gt;=$K$11,"",cal!G39)</f>
        <v>838.84799999999984</v>
      </c>
      <c r="H40" s="165">
        <f>IF($K$10&gt;=$K$11,"",cal!H39)</f>
        <v>838.84799999999984</v>
      </c>
      <c r="I40" s="163">
        <f>IF($K$10&gt;=$K$11,"",cal!I39)</f>
        <v>361</v>
      </c>
      <c r="J40" s="166">
        <f>IF($K$10&gt;=$K$11,"",cal!J39)</f>
        <v>34.10550473288</v>
      </c>
      <c r="K40" s="167">
        <f>cal!K39</f>
        <v>41</v>
      </c>
      <c r="L40" s="168">
        <f>cal!L39</f>
        <v>49</v>
      </c>
      <c r="M40" s="169">
        <f>cal!M39</f>
        <v>14.1</v>
      </c>
      <c r="N40" s="170">
        <f>cal!N39</f>
        <v>320</v>
      </c>
      <c r="O40" s="165"/>
      <c r="P40" s="170"/>
      <c r="Q40" s="160"/>
      <c r="R40" s="160"/>
      <c r="S40" s="171"/>
      <c r="T40" s="160"/>
      <c r="U40" s="160"/>
    </row>
    <row r="41" spans="2:21" ht="0.25" customHeight="1" x14ac:dyDescent="0.35">
      <c r="B41" s="286" t="str">
        <f>IF(cal!$X$16=1,"",IF(cal!$X$16=2,"",cal!B40))</f>
        <v/>
      </c>
      <c r="C41" s="287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9"/>
      <c r="Q41" s="194"/>
      <c r="R41" s="194"/>
      <c r="S41" s="256"/>
      <c r="T41" s="194"/>
      <c r="U41" s="194"/>
    </row>
    <row r="42" spans="2:21" ht="0.25" customHeight="1" x14ac:dyDescent="0.35">
      <c r="B42" s="110">
        <f>cal!B41</f>
        <v>0.2</v>
      </c>
      <c r="C42" s="111">
        <f>cal!C41</f>
        <v>2</v>
      </c>
      <c r="D42" s="257">
        <f>IF($E$10&lt;=$E$11,cal!$AC$3,cal!D41)</f>
        <v>0</v>
      </c>
      <c r="E42" s="258">
        <f>IF($E$10&lt;=$E$11,"",cal!E41)</f>
        <v>0</v>
      </c>
      <c r="F42" s="259" t="e">
        <f>IF($E$10&lt;=$E$11,"",cal!F41)</f>
        <v>#NUM!</v>
      </c>
      <c r="G42" s="260">
        <f>IF($K$10&gt;=$K$11,cal!$AC$3,cal!G41)</f>
        <v>0</v>
      </c>
      <c r="H42" s="260">
        <f>IF($K$10&gt;=$K$11,"",cal!H41)</f>
        <v>0</v>
      </c>
      <c r="I42" s="258">
        <f>IF($K$10&gt;=$K$11,"",cal!I41)</f>
        <v>0</v>
      </c>
      <c r="J42" s="261" t="e">
        <f>IF($K$10&gt;=$K$11,"",cal!J41)</f>
        <v>#NUM!</v>
      </c>
      <c r="K42" s="262" t="str">
        <f>IF(cal!K41=-8,"",cal!K41)</f>
        <v/>
      </c>
      <c r="L42" s="263" t="str">
        <f>IF(cal!L41=0,"",cal!L41)</f>
        <v/>
      </c>
      <c r="M42" s="264" t="str">
        <f>IF(cal!M41=0,"",cal!M41)</f>
        <v/>
      </c>
      <c r="N42" s="265" t="str">
        <f>IF(cal!N41=0,"",cal!N41)</f>
        <v/>
      </c>
      <c r="O42" s="260"/>
      <c r="P42" s="265"/>
      <c r="Q42" s="194"/>
      <c r="R42" s="194"/>
      <c r="S42" s="266"/>
      <c r="T42" s="194"/>
      <c r="U42" s="194"/>
    </row>
    <row r="43" spans="2:21" ht="0.25" customHeight="1" x14ac:dyDescent="0.35">
      <c r="B43" s="110">
        <f>cal!B42</f>
        <v>0.4</v>
      </c>
      <c r="C43" s="111">
        <f>cal!C42</f>
        <v>4</v>
      </c>
      <c r="D43" s="257">
        <f>IF($E$10&lt;=$E$11,cal!$AC$4,cal!D42)</f>
        <v>0</v>
      </c>
      <c r="E43" s="258">
        <f>IF($E$10&lt;=$E$11,"",cal!E42)</f>
        <v>0</v>
      </c>
      <c r="F43" s="259" t="e">
        <f>IF($E$10&lt;=$E$11,"",cal!F42)</f>
        <v>#NUM!</v>
      </c>
      <c r="G43" s="260">
        <f>IF($K$10&gt;=$K$11,cal!$AC$5,cal!G42)</f>
        <v>0</v>
      </c>
      <c r="H43" s="260">
        <f>IF($K$10&gt;=$K$11,"",cal!H42)</f>
        <v>0</v>
      </c>
      <c r="I43" s="258">
        <f>IF($K$10&gt;=$K$11,"",cal!I42)</f>
        <v>0</v>
      </c>
      <c r="J43" s="261" t="e">
        <f>IF($K$10&gt;=$K$11,"",cal!J42)</f>
        <v>#NUM!</v>
      </c>
      <c r="K43" s="262" t="str">
        <f>IF(cal!K42=-8,"",cal!K42)</f>
        <v/>
      </c>
      <c r="L43" s="263" t="str">
        <f>IF(cal!L42=0,"",cal!L42)</f>
        <v/>
      </c>
      <c r="M43" s="264" t="str">
        <f>IF(cal!M42=0,"",cal!M42)</f>
        <v/>
      </c>
      <c r="N43" s="265" t="str">
        <f>IF(cal!N42=0,"",cal!N42)</f>
        <v/>
      </c>
      <c r="O43" s="260"/>
      <c r="P43" s="265"/>
      <c r="Q43" s="194"/>
      <c r="R43" s="194"/>
      <c r="S43" s="266"/>
      <c r="T43" s="194"/>
      <c r="U43" s="194"/>
    </row>
    <row r="44" spans="2:21" ht="0.25" customHeight="1" x14ac:dyDescent="0.35">
      <c r="B44" s="110">
        <f>cal!B43</f>
        <v>0.6</v>
      </c>
      <c r="C44" s="111">
        <f>cal!C43</f>
        <v>6</v>
      </c>
      <c r="D44" s="257">
        <f>IF($E$10&lt;=$E$11,"",cal!D43)</f>
        <v>0</v>
      </c>
      <c r="E44" s="258">
        <f>IF($E$10&lt;=$E$11,"",cal!E43)</f>
        <v>0</v>
      </c>
      <c r="F44" s="259" t="e">
        <f>IF($E$10&lt;=$E$11,"",cal!F43)</f>
        <v>#NUM!</v>
      </c>
      <c r="G44" s="260">
        <f>IF($K$10&gt;=$K$11,"",cal!G43)</f>
        <v>0</v>
      </c>
      <c r="H44" s="260">
        <f>IF($K$10&gt;=$K$11,"",cal!H43)</f>
        <v>0</v>
      </c>
      <c r="I44" s="258">
        <f>IF($K$10&gt;=$K$11,"",cal!I43)</f>
        <v>0</v>
      </c>
      <c r="J44" s="261" t="e">
        <f>IF($K$10&gt;=$K$11,"",cal!J43)</f>
        <v>#NUM!</v>
      </c>
      <c r="K44" s="262" t="str">
        <f>IF(cal!K43=-8,"",cal!K43)</f>
        <v/>
      </c>
      <c r="L44" s="263" t="str">
        <f>IF(cal!L43=0,"",cal!L43)</f>
        <v/>
      </c>
      <c r="M44" s="264" t="str">
        <f>IF(cal!M43=0,"",cal!M43)</f>
        <v/>
      </c>
      <c r="N44" s="265" t="str">
        <f>IF(cal!N43=0,"",cal!N43)</f>
        <v/>
      </c>
      <c r="O44" s="260"/>
      <c r="P44" s="265"/>
      <c r="Q44" s="194"/>
      <c r="R44" s="194"/>
      <c r="S44" s="266"/>
      <c r="T44" s="194"/>
      <c r="U44" s="194"/>
    </row>
    <row r="45" spans="2:21" ht="0.25" customHeight="1" x14ac:dyDescent="0.35">
      <c r="B45" s="110">
        <f>cal!B44</f>
        <v>0.8</v>
      </c>
      <c r="C45" s="111">
        <f>cal!C44</f>
        <v>8</v>
      </c>
      <c r="D45" s="257">
        <f>IF($E$10&lt;=$E$11,"",cal!D44)</f>
        <v>0</v>
      </c>
      <c r="E45" s="258">
        <f>IF($E$10&lt;=$E$11,"",cal!E44)</f>
        <v>0</v>
      </c>
      <c r="F45" s="259" t="e">
        <f>IF($E$10&lt;=$E$11,"",cal!F44)</f>
        <v>#NUM!</v>
      </c>
      <c r="G45" s="260">
        <f>IF($K$10&gt;=$K$11,"",cal!G44)</f>
        <v>0</v>
      </c>
      <c r="H45" s="260">
        <f>IF($K$10&gt;=$K$11,"",cal!H44)</f>
        <v>0</v>
      </c>
      <c r="I45" s="258">
        <f>IF($K$10&gt;=$K$11,"",cal!I44)</f>
        <v>0</v>
      </c>
      <c r="J45" s="261" t="e">
        <f>IF($K$10&gt;=$K$11,"",cal!J44)</f>
        <v>#NUM!</v>
      </c>
      <c r="K45" s="262" t="str">
        <f>IF(cal!K44=-8,"",cal!K44)</f>
        <v/>
      </c>
      <c r="L45" s="263" t="str">
        <f>IF(cal!L44=0,"",cal!L44)</f>
        <v/>
      </c>
      <c r="M45" s="264" t="str">
        <f>IF(cal!M44=0,"",cal!M44)</f>
        <v/>
      </c>
      <c r="N45" s="265" t="str">
        <f>IF(cal!N44=0,"",cal!N44)</f>
        <v/>
      </c>
      <c r="O45" s="260"/>
      <c r="P45" s="265"/>
      <c r="Q45" s="194"/>
      <c r="R45" s="194"/>
      <c r="S45" s="266"/>
      <c r="T45" s="194"/>
      <c r="U45" s="194"/>
    </row>
    <row r="46" spans="2:21" ht="0.25" customHeight="1" x14ac:dyDescent="0.35">
      <c r="B46" s="110">
        <f>cal!B45</f>
        <v>1</v>
      </c>
      <c r="C46" s="111">
        <f>cal!C45</f>
        <v>10</v>
      </c>
      <c r="D46" s="257">
        <f>IF($E$10&lt;=$E$11,"",cal!D45)</f>
        <v>0</v>
      </c>
      <c r="E46" s="258">
        <f>IF($E$10&lt;=$E$11,"",cal!E45)</f>
        <v>0</v>
      </c>
      <c r="F46" s="259" t="e">
        <f>IF($E$10&lt;=$E$11,"",cal!F45)</f>
        <v>#NUM!</v>
      </c>
      <c r="G46" s="260">
        <f>IF($K$10&gt;=$K$11,"",cal!G45)</f>
        <v>0</v>
      </c>
      <c r="H46" s="260">
        <f>IF($K$10&gt;=$K$11,"",cal!H45)</f>
        <v>0</v>
      </c>
      <c r="I46" s="258">
        <f>IF($K$10&gt;=$K$11,"",cal!I45)</f>
        <v>0</v>
      </c>
      <c r="J46" s="261" t="e">
        <f>IF($K$10&gt;=$K$11,"",cal!J45)</f>
        <v>#NUM!</v>
      </c>
      <c r="K46" s="262" t="str">
        <f>IF(cal!K45=-8,"",cal!K45)</f>
        <v/>
      </c>
      <c r="L46" s="263" t="str">
        <f>IF(cal!L45=0,"",cal!L45)</f>
        <v/>
      </c>
      <c r="M46" s="264" t="str">
        <f>IF(cal!M45=0,"",cal!M45)</f>
        <v/>
      </c>
      <c r="N46" s="265" t="str">
        <f>IF(cal!N45=0,"",cal!N45)</f>
        <v/>
      </c>
      <c r="O46" s="260"/>
      <c r="P46" s="265"/>
      <c r="Q46" s="194"/>
      <c r="R46" s="194"/>
      <c r="S46" s="266"/>
      <c r="T46" s="194"/>
      <c r="U46" s="194"/>
    </row>
    <row r="47" spans="2:21" ht="0.25" customHeight="1" x14ac:dyDescent="0.35">
      <c r="B47" s="286" t="str">
        <f>IF(cal!$X$16=1,"",IF(cal!$X$16=2,"",cal!B46))</f>
        <v/>
      </c>
      <c r="C47" s="287"/>
      <c r="D47" s="288"/>
      <c r="E47" s="288"/>
      <c r="F47" s="288"/>
      <c r="G47" s="288"/>
      <c r="H47" s="288"/>
      <c r="I47" s="288"/>
      <c r="J47" s="288"/>
      <c r="K47" s="288"/>
      <c r="L47" s="288"/>
      <c r="M47" s="288"/>
      <c r="N47" s="288"/>
      <c r="O47" s="288"/>
      <c r="P47" s="289"/>
      <c r="Q47" s="194"/>
      <c r="R47" s="194"/>
      <c r="S47" s="256"/>
      <c r="T47" s="194"/>
      <c r="U47" s="194"/>
    </row>
    <row r="48" spans="2:21" ht="0.25" customHeight="1" x14ac:dyDescent="0.35">
      <c r="B48" s="110">
        <f>cal!B47</f>
        <v>0.2</v>
      </c>
      <c r="C48" s="111">
        <f>cal!C47</f>
        <v>2</v>
      </c>
      <c r="D48" s="257">
        <f>IF($E$10&lt;=$E$11,cal!$AC$3,cal!D47)</f>
        <v>0</v>
      </c>
      <c r="E48" s="258">
        <f>IF($E$10&lt;=$E$11,"",cal!E47)</f>
        <v>0</v>
      </c>
      <c r="F48" s="259" t="e">
        <f>IF($E$10&lt;=$E$11,"",cal!F47)</f>
        <v>#NUM!</v>
      </c>
      <c r="G48" s="260">
        <f>IF($K$10&gt;=$K$11,cal!$AC$3,cal!G47)</f>
        <v>0</v>
      </c>
      <c r="H48" s="260">
        <f>IF($K$10&gt;=$K$11,"",cal!H47)</f>
        <v>0</v>
      </c>
      <c r="I48" s="258">
        <f>IF($K$10&gt;=$K$11,"",cal!I47)</f>
        <v>0</v>
      </c>
      <c r="J48" s="261" t="e">
        <f>IF($K$10&gt;=$K$11,"",cal!J47)</f>
        <v>#NUM!</v>
      </c>
      <c r="K48" s="262" t="str">
        <f>IF(cal!K47=-8,"",cal!K47)</f>
        <v/>
      </c>
      <c r="L48" s="263" t="str">
        <f>IF(cal!L47=0,"",cal!L47)</f>
        <v/>
      </c>
      <c r="M48" s="264" t="str">
        <f>IF(cal!M47=0,"",cal!M47)</f>
        <v/>
      </c>
      <c r="N48" s="265" t="str">
        <f>IF(cal!N47=0,"",cal!N47)</f>
        <v/>
      </c>
      <c r="O48" s="260"/>
      <c r="P48" s="265"/>
      <c r="Q48" s="194"/>
      <c r="R48" s="194"/>
      <c r="S48" s="266"/>
      <c r="T48" s="194"/>
      <c r="U48" s="194"/>
    </row>
    <row r="49" spans="2:21" ht="0.25" customHeight="1" x14ac:dyDescent="0.35">
      <c r="B49" s="110">
        <f>cal!B48</f>
        <v>0.4</v>
      </c>
      <c r="C49" s="111">
        <f>cal!C48</f>
        <v>4</v>
      </c>
      <c r="D49" s="257">
        <f>IF($E$10&lt;=$E$11,cal!$AC$4,cal!D48)</f>
        <v>0</v>
      </c>
      <c r="E49" s="258">
        <f>IF($E$10&lt;=$E$11,"",cal!E48)</f>
        <v>0</v>
      </c>
      <c r="F49" s="259" t="e">
        <f>IF($E$10&lt;=$E$11,"",cal!F48)</f>
        <v>#NUM!</v>
      </c>
      <c r="G49" s="260">
        <f>IF($K$10&gt;=$K$11,cal!$AC$5,cal!G48)</f>
        <v>0</v>
      </c>
      <c r="H49" s="260">
        <f>IF($K$10&gt;=$K$11,"",cal!H48)</f>
        <v>0</v>
      </c>
      <c r="I49" s="258">
        <f>IF($K$10&gt;=$K$11,"",cal!I48)</f>
        <v>0</v>
      </c>
      <c r="J49" s="261" t="e">
        <f>IF($K$10&gt;=$K$11,"",cal!J48)</f>
        <v>#NUM!</v>
      </c>
      <c r="K49" s="262" t="str">
        <f>IF(cal!K48=-8,"",cal!K48)</f>
        <v/>
      </c>
      <c r="L49" s="263" t="str">
        <f>IF(cal!L48=0,"",cal!L48)</f>
        <v/>
      </c>
      <c r="M49" s="264" t="str">
        <f>IF(cal!M48=0,"",cal!M48)</f>
        <v/>
      </c>
      <c r="N49" s="265" t="str">
        <f>IF(cal!N48=0,"",cal!N48)</f>
        <v/>
      </c>
      <c r="O49" s="260"/>
      <c r="P49" s="265"/>
      <c r="Q49" s="194"/>
      <c r="R49" s="194"/>
      <c r="S49" s="266"/>
      <c r="T49" s="194"/>
      <c r="U49" s="194"/>
    </row>
    <row r="50" spans="2:21" ht="0.25" customHeight="1" x14ac:dyDescent="0.35">
      <c r="B50" s="110">
        <f>cal!B49</f>
        <v>0.6</v>
      </c>
      <c r="C50" s="111">
        <f>cal!C49</f>
        <v>6</v>
      </c>
      <c r="D50" s="257">
        <f>IF($E$10&lt;=$E$11,"",cal!D49)</f>
        <v>0</v>
      </c>
      <c r="E50" s="258">
        <f>IF($E$10&lt;=$E$11,"",cal!E49)</f>
        <v>0</v>
      </c>
      <c r="F50" s="259" t="e">
        <f>IF($E$10&lt;=$E$11,"",cal!F49)</f>
        <v>#NUM!</v>
      </c>
      <c r="G50" s="260">
        <f>IF($K$10&gt;=$K$11,"",cal!G49)</f>
        <v>0</v>
      </c>
      <c r="H50" s="260">
        <f>IF($K$10&gt;=$K$11,"",cal!H49)</f>
        <v>0</v>
      </c>
      <c r="I50" s="258">
        <f>IF($K$10&gt;=$K$11,"",cal!I49)</f>
        <v>0</v>
      </c>
      <c r="J50" s="261" t="e">
        <f>IF($K$10&gt;=$K$11,"",cal!J49)</f>
        <v>#NUM!</v>
      </c>
      <c r="K50" s="262" t="str">
        <f>IF(cal!K49=-8,"",cal!K49)</f>
        <v/>
      </c>
      <c r="L50" s="263" t="str">
        <f>IF(cal!L49=0,"",cal!L49)</f>
        <v/>
      </c>
      <c r="M50" s="264" t="str">
        <f>IF(cal!M49=0,"",cal!M49)</f>
        <v/>
      </c>
      <c r="N50" s="265" t="str">
        <f>IF(cal!N49=0,"",cal!N49)</f>
        <v/>
      </c>
      <c r="O50" s="260"/>
      <c r="P50" s="265"/>
      <c r="Q50" s="194"/>
      <c r="R50" s="194"/>
      <c r="S50" s="266"/>
      <c r="T50" s="194"/>
      <c r="U50" s="194"/>
    </row>
    <row r="51" spans="2:21" ht="0.25" customHeight="1" x14ac:dyDescent="0.35">
      <c r="B51" s="110">
        <f>cal!B50</f>
        <v>0.8</v>
      </c>
      <c r="C51" s="111">
        <f>cal!C50</f>
        <v>8</v>
      </c>
      <c r="D51" s="257">
        <f>IF($E$10&lt;=$E$11,"",cal!D50)</f>
        <v>0</v>
      </c>
      <c r="E51" s="258">
        <f>IF($E$10&lt;=$E$11,"",cal!E50)</f>
        <v>0</v>
      </c>
      <c r="F51" s="259" t="e">
        <f>IF($E$10&lt;=$E$11,"",cal!F50)</f>
        <v>#NUM!</v>
      </c>
      <c r="G51" s="260">
        <f>IF($K$10&gt;=$K$11,"",cal!G50)</f>
        <v>0</v>
      </c>
      <c r="H51" s="260">
        <f>IF($K$10&gt;=$K$11,"",cal!H50)</f>
        <v>0</v>
      </c>
      <c r="I51" s="258">
        <f>IF($K$10&gt;=$K$11,"",cal!I50)</f>
        <v>0</v>
      </c>
      <c r="J51" s="261" t="e">
        <f>IF($K$10&gt;=$K$11,"",cal!J50)</f>
        <v>#NUM!</v>
      </c>
      <c r="K51" s="262" t="str">
        <f>IF(cal!K50=-8,"",cal!K50)</f>
        <v/>
      </c>
      <c r="L51" s="263" t="str">
        <f>IF(cal!L50=0,"",cal!L50)</f>
        <v/>
      </c>
      <c r="M51" s="264" t="str">
        <f>IF(cal!M50=0,"",cal!M50)</f>
        <v/>
      </c>
      <c r="N51" s="265" t="str">
        <f>IF(cal!N50=0,"",cal!N50)</f>
        <v/>
      </c>
      <c r="O51" s="260"/>
      <c r="P51" s="265"/>
      <c r="Q51" s="194"/>
      <c r="R51" s="194"/>
      <c r="S51" s="266"/>
      <c r="T51" s="194"/>
      <c r="U51" s="194"/>
    </row>
    <row r="52" spans="2:21" ht="0.25" customHeight="1" x14ac:dyDescent="0.35">
      <c r="B52" s="110">
        <f>cal!B51</f>
        <v>1</v>
      </c>
      <c r="C52" s="111">
        <f>cal!C51</f>
        <v>10</v>
      </c>
      <c r="D52" s="257">
        <f>IF($E$10&lt;=$E$11,"",cal!D51)</f>
        <v>0</v>
      </c>
      <c r="E52" s="258">
        <f>IF($E$10&lt;=$E$11,"",cal!E51)</f>
        <v>0</v>
      </c>
      <c r="F52" s="259" t="e">
        <f>IF($E$10&lt;=$E$11,"",cal!F51)</f>
        <v>#NUM!</v>
      </c>
      <c r="G52" s="260">
        <f>IF($K$10&gt;=$K$11,"",cal!G51)</f>
        <v>0</v>
      </c>
      <c r="H52" s="260">
        <f>IF($K$10&gt;=$K$11,"",cal!H51)</f>
        <v>0</v>
      </c>
      <c r="I52" s="258">
        <f>IF($K$10&gt;=$K$11,"",cal!I51)</f>
        <v>0</v>
      </c>
      <c r="J52" s="261" t="e">
        <f>IF($K$10&gt;=$K$11,"",cal!J51)</f>
        <v>#NUM!</v>
      </c>
      <c r="K52" s="262" t="str">
        <f>IF(cal!K51=-8,"",cal!K51)</f>
        <v/>
      </c>
      <c r="L52" s="263" t="str">
        <f>IF(cal!L51=0,"",cal!L51)</f>
        <v/>
      </c>
      <c r="M52" s="264" t="str">
        <f>IF(cal!M51=0,"",cal!M51)</f>
        <v/>
      </c>
      <c r="N52" s="265" t="str">
        <f>IF(cal!N51=0,"",cal!N51)</f>
        <v/>
      </c>
      <c r="O52" s="260"/>
      <c r="P52" s="265"/>
      <c r="Q52" s="194"/>
      <c r="R52" s="194"/>
      <c r="S52" s="266"/>
      <c r="T52" s="194"/>
      <c r="U52" s="194"/>
    </row>
    <row r="53" spans="2:21" ht="0.25" customHeight="1" x14ac:dyDescent="0.35">
      <c r="B53" s="286" t="str">
        <f>IF(cal!$X$16=1,"",IF(cal!$X$16=2,"",cal!B52))</f>
        <v/>
      </c>
      <c r="C53" s="287"/>
      <c r="D53" s="288"/>
      <c r="E53" s="288"/>
      <c r="F53" s="288"/>
      <c r="G53" s="288"/>
      <c r="H53" s="288"/>
      <c r="I53" s="288"/>
      <c r="J53" s="288"/>
      <c r="K53" s="288"/>
      <c r="L53" s="288"/>
      <c r="M53" s="288"/>
      <c r="N53" s="288"/>
      <c r="O53" s="288"/>
      <c r="P53" s="289"/>
      <c r="Q53" s="194"/>
      <c r="R53" s="194"/>
      <c r="S53" s="256"/>
      <c r="T53" s="194"/>
      <c r="U53" s="194"/>
    </row>
    <row r="54" spans="2:21" ht="0.25" customHeight="1" x14ac:dyDescent="0.35">
      <c r="B54" s="110">
        <f>cal!B53</f>
        <v>0.2</v>
      </c>
      <c r="C54" s="111">
        <f>cal!C53</f>
        <v>2</v>
      </c>
      <c r="D54" s="257">
        <f>IF($E$10&lt;=$E$11,cal!$AC$3,cal!D53)</f>
        <v>0</v>
      </c>
      <c r="E54" s="258">
        <f>IF($E$10&lt;=$E$11,"",cal!E53)</f>
        <v>0</v>
      </c>
      <c r="F54" s="259" t="e">
        <f>IF($E$10&lt;=$E$11,"",cal!F53)</f>
        <v>#NUM!</v>
      </c>
      <c r="G54" s="260">
        <f>IF($K$10&gt;=$K$11,cal!$AC$3,cal!G53)</f>
        <v>0</v>
      </c>
      <c r="H54" s="260">
        <f>IF($K$10&gt;=$K$11,"",cal!H53)</f>
        <v>0</v>
      </c>
      <c r="I54" s="258">
        <f>IF($K$10&gt;=$K$11,"",cal!I53)</f>
        <v>0</v>
      </c>
      <c r="J54" s="261" t="e">
        <f>IF($K$10&gt;=$K$11,"",cal!J53)</f>
        <v>#NUM!</v>
      </c>
      <c r="K54" s="262" t="str">
        <f>IF(cal!K53=-8,"",cal!K53)</f>
        <v/>
      </c>
      <c r="L54" s="263" t="str">
        <f>IF(cal!L53=0,"",cal!L53)</f>
        <v/>
      </c>
      <c r="M54" s="264" t="str">
        <f>IF(cal!M53=0,"",cal!M53)</f>
        <v/>
      </c>
      <c r="N54" s="265" t="str">
        <f>IF(cal!N53=0,"",cal!N53)</f>
        <v/>
      </c>
      <c r="O54" s="260"/>
      <c r="P54" s="265"/>
      <c r="Q54" s="194"/>
      <c r="R54" s="194"/>
      <c r="S54" s="266"/>
      <c r="T54" s="194"/>
      <c r="U54" s="194"/>
    </row>
    <row r="55" spans="2:21" ht="0.25" customHeight="1" x14ac:dyDescent="0.35">
      <c r="B55" s="110">
        <f>cal!B54</f>
        <v>0.4</v>
      </c>
      <c r="C55" s="111">
        <f>cal!C54</f>
        <v>4</v>
      </c>
      <c r="D55" s="257">
        <f>IF($E$10&lt;=$E$11,cal!$AC$4,cal!D54)</f>
        <v>0</v>
      </c>
      <c r="E55" s="258">
        <f>IF($E$10&lt;=$E$11,"",cal!E54)</f>
        <v>0</v>
      </c>
      <c r="F55" s="259" t="e">
        <f>IF($E$10&lt;=$E$11,"",cal!F54)</f>
        <v>#NUM!</v>
      </c>
      <c r="G55" s="260">
        <f>IF($K$10&gt;=$K$11,cal!$AC$5,cal!G54)</f>
        <v>0</v>
      </c>
      <c r="H55" s="260">
        <f>IF($K$10&gt;=$K$11,"",cal!H54)</f>
        <v>0</v>
      </c>
      <c r="I55" s="258">
        <f>IF($K$10&gt;=$K$11,"",cal!I54)</f>
        <v>0</v>
      </c>
      <c r="J55" s="261" t="e">
        <f>IF($K$10&gt;=$K$11,"",cal!J54)</f>
        <v>#NUM!</v>
      </c>
      <c r="K55" s="262" t="str">
        <f>IF(cal!K54=-8,"",cal!K54)</f>
        <v/>
      </c>
      <c r="L55" s="263" t="str">
        <f>IF(cal!L54=0,"",cal!L54)</f>
        <v/>
      </c>
      <c r="M55" s="264" t="str">
        <f>IF(cal!M54=0,"",cal!M54)</f>
        <v/>
      </c>
      <c r="N55" s="265" t="str">
        <f>IF(cal!N54=0,"",cal!N54)</f>
        <v/>
      </c>
      <c r="O55" s="260"/>
      <c r="P55" s="265"/>
      <c r="Q55" s="194"/>
      <c r="R55" s="194"/>
      <c r="S55" s="266"/>
      <c r="T55" s="194"/>
      <c r="U55" s="194"/>
    </row>
    <row r="56" spans="2:21" ht="0.25" customHeight="1" x14ac:dyDescent="0.35">
      <c r="B56" s="110">
        <f>cal!B55</f>
        <v>0.6</v>
      </c>
      <c r="C56" s="111">
        <f>cal!C55</f>
        <v>6</v>
      </c>
      <c r="D56" s="257">
        <f>IF($E$10&lt;=$E$11,"",cal!D55)</f>
        <v>0</v>
      </c>
      <c r="E56" s="258">
        <f>IF($E$10&lt;=$E$11,"",cal!E55)</f>
        <v>0</v>
      </c>
      <c r="F56" s="259" t="e">
        <f>IF($E$10&lt;=$E$11,"",cal!F55)</f>
        <v>#NUM!</v>
      </c>
      <c r="G56" s="260">
        <f>IF($K$10&gt;=$K$11,"",cal!G55)</f>
        <v>0</v>
      </c>
      <c r="H56" s="260">
        <f>IF($K$10&gt;=$K$11,"",cal!H55)</f>
        <v>0</v>
      </c>
      <c r="I56" s="258">
        <f>IF($K$10&gt;=$K$11,"",cal!I55)</f>
        <v>0</v>
      </c>
      <c r="J56" s="261" t="e">
        <f>IF($K$10&gt;=$K$11,"",cal!J55)</f>
        <v>#NUM!</v>
      </c>
      <c r="K56" s="262" t="str">
        <f>IF(cal!K55=-8,"",cal!K55)</f>
        <v/>
      </c>
      <c r="L56" s="263" t="str">
        <f>IF(cal!L55=0,"",cal!L55)</f>
        <v/>
      </c>
      <c r="M56" s="264" t="str">
        <f>IF(cal!M55=0,"",cal!M55)</f>
        <v/>
      </c>
      <c r="N56" s="265" t="str">
        <f>IF(cal!N55=0,"",cal!N55)</f>
        <v/>
      </c>
      <c r="O56" s="260"/>
      <c r="P56" s="265"/>
      <c r="Q56" s="194"/>
      <c r="R56" s="194"/>
      <c r="S56" s="266"/>
      <c r="T56" s="194"/>
      <c r="U56" s="194"/>
    </row>
    <row r="57" spans="2:21" ht="0.25" customHeight="1" x14ac:dyDescent="0.35">
      <c r="B57" s="110">
        <f>cal!B56</f>
        <v>0.8</v>
      </c>
      <c r="C57" s="111">
        <f>cal!C56</f>
        <v>8</v>
      </c>
      <c r="D57" s="257">
        <f>IF($E$10&lt;=$E$11,"",cal!D56)</f>
        <v>0</v>
      </c>
      <c r="E57" s="258">
        <f>IF($E$10&lt;=$E$11,"",cal!E56)</f>
        <v>0</v>
      </c>
      <c r="F57" s="259" t="e">
        <f>IF($E$10&lt;=$E$11,"",cal!F56)</f>
        <v>#NUM!</v>
      </c>
      <c r="G57" s="260">
        <f>IF($K$10&gt;=$K$11,"",cal!G56)</f>
        <v>0</v>
      </c>
      <c r="H57" s="260">
        <f>IF($K$10&gt;=$K$11,"",cal!H56)</f>
        <v>0</v>
      </c>
      <c r="I57" s="258">
        <f>IF($K$10&gt;=$K$11,"",cal!I56)</f>
        <v>0</v>
      </c>
      <c r="J57" s="261" t="e">
        <f>IF($K$10&gt;=$K$11,"",cal!J56)</f>
        <v>#NUM!</v>
      </c>
      <c r="K57" s="262" t="str">
        <f>IF(cal!K56=-8,"",cal!K56)</f>
        <v/>
      </c>
      <c r="L57" s="263" t="str">
        <f>IF(cal!L56=0,"",cal!L56)</f>
        <v/>
      </c>
      <c r="M57" s="264" t="str">
        <f>IF(cal!M56=0,"",cal!M56)</f>
        <v/>
      </c>
      <c r="N57" s="265" t="str">
        <f>IF(cal!N56=0,"",cal!N56)</f>
        <v/>
      </c>
      <c r="O57" s="260"/>
      <c r="P57" s="265"/>
      <c r="Q57" s="194"/>
      <c r="R57" s="194"/>
      <c r="S57" s="266"/>
      <c r="T57" s="194"/>
      <c r="U57" s="194"/>
    </row>
    <row r="58" spans="2:21" ht="0.25" customHeight="1" x14ac:dyDescent="0.35">
      <c r="B58" s="110">
        <f>cal!B57</f>
        <v>1</v>
      </c>
      <c r="C58" s="111">
        <f>cal!C57</f>
        <v>10</v>
      </c>
      <c r="D58" s="257">
        <f>IF($E$10&lt;=$E$11,"",cal!D57)</f>
        <v>0</v>
      </c>
      <c r="E58" s="258">
        <f>IF($E$10&lt;=$E$11,"",cal!E57)</f>
        <v>0</v>
      </c>
      <c r="F58" s="259" t="e">
        <f>IF($E$10&lt;=$E$11,"",cal!F57)</f>
        <v>#NUM!</v>
      </c>
      <c r="G58" s="260">
        <f>IF($K$10&gt;=$K$11,"",cal!G57)</f>
        <v>0</v>
      </c>
      <c r="H58" s="260">
        <f>IF($K$10&gt;=$K$11,"",cal!H57)</f>
        <v>0</v>
      </c>
      <c r="I58" s="258">
        <f>IF($K$10&gt;=$K$11,"",cal!I57)</f>
        <v>0</v>
      </c>
      <c r="J58" s="261" t="e">
        <f>IF($K$10&gt;=$K$11,"",cal!J57)</f>
        <v>#NUM!</v>
      </c>
      <c r="K58" s="262" t="str">
        <f>IF(cal!K57=-8,"",cal!K57)</f>
        <v/>
      </c>
      <c r="L58" s="263" t="str">
        <f>IF(cal!L57=0,"",cal!L57)</f>
        <v/>
      </c>
      <c r="M58" s="264" t="str">
        <f>IF(cal!M57=0,"",cal!M57)</f>
        <v/>
      </c>
      <c r="N58" s="265" t="str">
        <f>IF(cal!N57=0,"",cal!N57)</f>
        <v/>
      </c>
      <c r="O58" s="260"/>
      <c r="P58" s="265"/>
      <c r="Q58" s="194"/>
      <c r="R58" s="194"/>
      <c r="S58" s="266"/>
      <c r="T58" s="194"/>
      <c r="U58" s="194"/>
    </row>
    <row r="59" spans="2:21" ht="0.25" customHeight="1" x14ac:dyDescent="0.35">
      <c r="B59" s="286" t="str">
        <f>IF(cal!$X$16=1,"",IF(cal!$X$16=2,"",cal!B58))</f>
        <v/>
      </c>
      <c r="C59" s="287"/>
      <c r="D59" s="288"/>
      <c r="E59" s="288"/>
      <c r="F59" s="288"/>
      <c r="G59" s="288"/>
      <c r="H59" s="288"/>
      <c r="I59" s="288"/>
      <c r="J59" s="288"/>
      <c r="K59" s="288"/>
      <c r="L59" s="288"/>
      <c r="M59" s="288"/>
      <c r="N59" s="288"/>
      <c r="O59" s="288"/>
      <c r="P59" s="289"/>
      <c r="Q59" s="194"/>
      <c r="R59" s="194"/>
      <c r="S59" s="266"/>
      <c r="T59" s="194"/>
      <c r="U59" s="194"/>
    </row>
    <row r="60" spans="2:21" ht="0.25" customHeight="1" x14ac:dyDescent="0.35">
      <c r="B60" s="110">
        <f>cal!B59</f>
        <v>0.2</v>
      </c>
      <c r="C60" s="111">
        <f>cal!C59</f>
        <v>2</v>
      </c>
      <c r="D60" s="257">
        <f>IF($E$10&lt;=$E$11,cal!$AC$3,cal!D59)</f>
        <v>0</v>
      </c>
      <c r="E60" s="258">
        <f>IF($E$10&lt;=$E$11,"",cal!E59)</f>
        <v>0</v>
      </c>
      <c r="F60" s="259" t="e">
        <f>IF($E$10&lt;=$E$11,"",cal!F59)</f>
        <v>#NUM!</v>
      </c>
      <c r="G60" s="260">
        <f>IF($K$10&gt;=$K$11,cal!$AC$3,cal!G59)</f>
        <v>0</v>
      </c>
      <c r="H60" s="260">
        <f>IF($K$10&gt;=$K$11,"",cal!H59)</f>
        <v>0</v>
      </c>
      <c r="I60" s="258">
        <f>IF($K$10&gt;=$K$11,"",cal!I59)</f>
        <v>0</v>
      </c>
      <c r="J60" s="261" t="e">
        <f>IF($K$10&gt;=$K$11,"",cal!J59)</f>
        <v>#NUM!</v>
      </c>
      <c r="K60" s="262" t="str">
        <f>IF(cal!K59=-8,"",cal!K59)</f>
        <v/>
      </c>
      <c r="L60" s="263" t="str">
        <f>IF(cal!L59=0,"",cal!L59)</f>
        <v/>
      </c>
      <c r="M60" s="264" t="str">
        <f>IF(cal!M59=0,"",cal!M59)</f>
        <v/>
      </c>
      <c r="N60" s="265" t="str">
        <f>IF(cal!N59=0,"",cal!N59)</f>
        <v/>
      </c>
      <c r="O60" s="260"/>
      <c r="P60" s="265"/>
      <c r="Q60" s="194"/>
      <c r="R60" s="194"/>
      <c r="S60" s="266"/>
      <c r="T60" s="194"/>
      <c r="U60" s="194"/>
    </row>
    <row r="61" spans="2:21" ht="0.25" customHeight="1" x14ac:dyDescent="0.35">
      <c r="B61" s="110">
        <f>cal!B60</f>
        <v>0.4</v>
      </c>
      <c r="C61" s="111">
        <f>cal!C60</f>
        <v>4</v>
      </c>
      <c r="D61" s="257">
        <f>IF($E$10&lt;=$E$11,cal!$AC$4,cal!D60)</f>
        <v>0</v>
      </c>
      <c r="E61" s="258">
        <f>IF($E$10&lt;=$E$11,"",cal!E60)</f>
        <v>0</v>
      </c>
      <c r="F61" s="259" t="e">
        <f>IF($E$10&lt;=$E$11,"",cal!F60)</f>
        <v>#NUM!</v>
      </c>
      <c r="G61" s="260">
        <f>IF($K$10&gt;=$K$11,cal!$AC$5,cal!G60)</f>
        <v>0</v>
      </c>
      <c r="H61" s="260">
        <f>IF($K$10&gt;=$K$11,"",cal!H60)</f>
        <v>0</v>
      </c>
      <c r="I61" s="258">
        <f>IF($K$10&gt;=$K$11,"",cal!I60)</f>
        <v>0</v>
      </c>
      <c r="J61" s="261" t="e">
        <f>IF($K$10&gt;=$K$11,"",cal!J60)</f>
        <v>#NUM!</v>
      </c>
      <c r="K61" s="262" t="str">
        <f>IF(cal!K60=-8,"",cal!K60)</f>
        <v/>
      </c>
      <c r="L61" s="263" t="str">
        <f>IF(cal!L60=0,"",cal!L60)</f>
        <v/>
      </c>
      <c r="M61" s="264" t="str">
        <f>IF(cal!M60=0,"",cal!M60)</f>
        <v/>
      </c>
      <c r="N61" s="265" t="str">
        <f>IF(cal!N60=0,"",cal!N60)</f>
        <v/>
      </c>
      <c r="O61" s="260"/>
      <c r="P61" s="265"/>
      <c r="Q61" s="194"/>
      <c r="R61" s="194"/>
      <c r="S61" s="266"/>
      <c r="T61" s="194"/>
      <c r="U61" s="194"/>
    </row>
    <row r="62" spans="2:21" ht="0.25" customHeight="1" x14ac:dyDescent="0.35">
      <c r="B62" s="110">
        <f>cal!B61</f>
        <v>0.6</v>
      </c>
      <c r="C62" s="111">
        <f>cal!C61</f>
        <v>6</v>
      </c>
      <c r="D62" s="257">
        <f>IF($E$10&lt;=$E$11,"",cal!D61)</f>
        <v>0</v>
      </c>
      <c r="E62" s="258">
        <f>IF($E$10&lt;=$E$11,"",cal!E61)</f>
        <v>0</v>
      </c>
      <c r="F62" s="259" t="e">
        <f>IF($E$10&lt;=$E$11,"",cal!F61)</f>
        <v>#NUM!</v>
      </c>
      <c r="G62" s="260">
        <f>IF($K$10&gt;=$K$11,"",cal!G61)</f>
        <v>0</v>
      </c>
      <c r="H62" s="260">
        <f>IF($K$10&gt;=$K$11,"",cal!H61)</f>
        <v>0</v>
      </c>
      <c r="I62" s="258">
        <f>IF($K$10&gt;=$K$11,"",cal!I61)</f>
        <v>0</v>
      </c>
      <c r="J62" s="261" t="e">
        <f>IF($K$10&gt;=$K$11,"",cal!J61)</f>
        <v>#NUM!</v>
      </c>
      <c r="K62" s="262" t="str">
        <f>IF(cal!K61=-8,"",cal!K61)</f>
        <v/>
      </c>
      <c r="L62" s="263" t="str">
        <f>IF(cal!L61=0,"",cal!L61)</f>
        <v/>
      </c>
      <c r="M62" s="264" t="str">
        <f>IF(cal!M61=0,"",cal!M61)</f>
        <v/>
      </c>
      <c r="N62" s="265" t="str">
        <f>IF(cal!N61=0,"",cal!N61)</f>
        <v/>
      </c>
      <c r="O62" s="260"/>
      <c r="P62" s="265"/>
      <c r="Q62" s="194"/>
      <c r="R62" s="194"/>
      <c r="S62" s="266"/>
      <c r="T62" s="194"/>
      <c r="U62" s="194"/>
    </row>
    <row r="63" spans="2:21" ht="0.25" customHeight="1" x14ac:dyDescent="0.35">
      <c r="B63" s="110">
        <f>cal!B62</f>
        <v>0.8</v>
      </c>
      <c r="C63" s="111">
        <f>cal!C62</f>
        <v>8</v>
      </c>
      <c r="D63" s="257">
        <f>IF($E$10&lt;=$E$11,"",cal!D62)</f>
        <v>0</v>
      </c>
      <c r="E63" s="258">
        <f>IF($E$10&lt;=$E$11,"",cal!E62)</f>
        <v>0</v>
      </c>
      <c r="F63" s="259" t="e">
        <f>IF($E$10&lt;=$E$11,"",cal!F62)</f>
        <v>#NUM!</v>
      </c>
      <c r="G63" s="260">
        <f>IF($K$10&gt;=$K$11,"",cal!G62)</f>
        <v>0</v>
      </c>
      <c r="H63" s="260">
        <f>IF($K$10&gt;=$K$11,"",cal!H62)</f>
        <v>0</v>
      </c>
      <c r="I63" s="258">
        <f>IF($K$10&gt;=$K$11,"",cal!I62)</f>
        <v>0</v>
      </c>
      <c r="J63" s="261" t="e">
        <f>IF($K$10&gt;=$K$11,"",cal!J62)</f>
        <v>#NUM!</v>
      </c>
      <c r="K63" s="262" t="str">
        <f>IF(cal!K62=-8,"",cal!K62)</f>
        <v/>
      </c>
      <c r="L63" s="263" t="str">
        <f>IF(cal!L62=0,"",cal!L62)</f>
        <v/>
      </c>
      <c r="M63" s="264" t="str">
        <f>IF(cal!M62=0,"",cal!M62)</f>
        <v/>
      </c>
      <c r="N63" s="265" t="str">
        <f>IF(cal!N62=0,"",cal!N62)</f>
        <v/>
      </c>
      <c r="O63" s="260"/>
      <c r="P63" s="265"/>
      <c r="Q63" s="194"/>
      <c r="R63" s="194"/>
      <c r="S63" s="266"/>
      <c r="T63" s="194"/>
      <c r="U63" s="194"/>
    </row>
    <row r="64" spans="2:21" ht="0.25" customHeight="1" x14ac:dyDescent="0.35">
      <c r="B64" s="110">
        <f>cal!B63</f>
        <v>1</v>
      </c>
      <c r="C64" s="111">
        <f>cal!C63</f>
        <v>10</v>
      </c>
      <c r="D64" s="257">
        <f>IF($E$10&lt;=$E$11,"",cal!D63)</f>
        <v>0</v>
      </c>
      <c r="E64" s="258">
        <f>IF($E$10&lt;=$E$11,"",cal!E63)</f>
        <v>0</v>
      </c>
      <c r="F64" s="259" t="e">
        <f>IF($E$10&lt;=$E$11,"",cal!F63)</f>
        <v>#NUM!</v>
      </c>
      <c r="G64" s="260">
        <f>IF($K$10&gt;=$K$11,"",cal!G63)</f>
        <v>0</v>
      </c>
      <c r="H64" s="260">
        <f>IF($K$10&gt;=$K$11,"",cal!H63)</f>
        <v>0</v>
      </c>
      <c r="I64" s="258">
        <f>IF($K$10&gt;=$K$11,"",cal!I63)</f>
        <v>0</v>
      </c>
      <c r="J64" s="261" t="e">
        <f>IF($K$10&gt;=$K$11,"",cal!J63)</f>
        <v>#NUM!</v>
      </c>
      <c r="K64" s="262" t="str">
        <f>IF(cal!K63=-8,"",cal!K63)</f>
        <v/>
      </c>
      <c r="L64" s="263" t="str">
        <f>IF(cal!L63=0,"",cal!L63)</f>
        <v/>
      </c>
      <c r="M64" s="264" t="str">
        <f>IF(cal!M63=0,"",cal!M63)</f>
        <v/>
      </c>
      <c r="N64" s="265" t="str">
        <f>IF(cal!N63=0,"",cal!N63)</f>
        <v/>
      </c>
      <c r="O64" s="260"/>
      <c r="P64" s="265"/>
      <c r="Q64" s="194"/>
      <c r="R64" s="194"/>
      <c r="S64" s="266"/>
      <c r="T64" s="194"/>
      <c r="U64" s="194"/>
    </row>
    <row r="65" spans="2:21" ht="0.25" customHeight="1" x14ac:dyDescent="0.35">
      <c r="B65" s="286" t="str">
        <f>IF(cal!$X$16=1,"",IF(cal!$X$16=2,"",cal!B64))</f>
        <v/>
      </c>
      <c r="C65" s="287"/>
      <c r="D65" s="288"/>
      <c r="E65" s="288"/>
      <c r="F65" s="288"/>
      <c r="G65" s="288"/>
      <c r="H65" s="288"/>
      <c r="I65" s="288"/>
      <c r="J65" s="288"/>
      <c r="K65" s="288"/>
      <c r="L65" s="288"/>
      <c r="M65" s="288"/>
      <c r="N65" s="288"/>
      <c r="O65" s="288"/>
      <c r="P65" s="289"/>
      <c r="Q65" s="194"/>
      <c r="R65" s="194"/>
      <c r="S65" s="256"/>
      <c r="T65" s="194"/>
      <c r="U65" s="194"/>
    </row>
    <row r="66" spans="2:21" ht="0.25" customHeight="1" x14ac:dyDescent="0.35">
      <c r="B66" s="110">
        <f>cal!B65</f>
        <v>0.2</v>
      </c>
      <c r="C66" s="111">
        <f>cal!C65</f>
        <v>2</v>
      </c>
      <c r="D66" s="257">
        <f>IF($E$10&lt;=$E$11,cal!$AC$3,cal!D65)</f>
        <v>0</v>
      </c>
      <c r="E66" s="258">
        <f>IF($E$10&lt;=$E$11,"",cal!E65)</f>
        <v>0</v>
      </c>
      <c r="F66" s="259" t="e">
        <f>IF($E$10&lt;=$E$11,"",cal!F65)</f>
        <v>#NUM!</v>
      </c>
      <c r="G66" s="260">
        <f>IF($K$10&gt;=$K$11,cal!$AC$3,cal!G65)</f>
        <v>0</v>
      </c>
      <c r="H66" s="260">
        <f>IF($K$10&gt;=$K$11,"",cal!H65)</f>
        <v>0</v>
      </c>
      <c r="I66" s="258">
        <f>IF($K$10&gt;=$K$11,"",cal!I65)</f>
        <v>0</v>
      </c>
      <c r="J66" s="261" t="e">
        <f>IF($K$10&gt;=$K$11,"",cal!J65)</f>
        <v>#NUM!</v>
      </c>
      <c r="K66" s="262" t="str">
        <f>IF(cal!K65=-8,"",cal!K65)</f>
        <v/>
      </c>
      <c r="L66" s="263" t="str">
        <f>IF(cal!L65=0,"",cal!L65)</f>
        <v/>
      </c>
      <c r="M66" s="264" t="str">
        <f>IF(cal!M65=0,"",cal!M65)</f>
        <v/>
      </c>
      <c r="N66" s="265" t="str">
        <f>IF(cal!N65=0,"",cal!N65)</f>
        <v/>
      </c>
      <c r="O66" s="260"/>
      <c r="P66" s="265"/>
      <c r="Q66" s="194"/>
      <c r="R66" s="194"/>
      <c r="S66" s="266"/>
      <c r="T66" s="194"/>
      <c r="U66" s="194"/>
    </row>
    <row r="67" spans="2:21" ht="0.25" customHeight="1" x14ac:dyDescent="0.35">
      <c r="B67" s="110">
        <f>cal!B66</f>
        <v>0.4</v>
      </c>
      <c r="C67" s="111">
        <f>cal!C66</f>
        <v>4</v>
      </c>
      <c r="D67" s="257">
        <f>IF($E$10&lt;=$E$11,cal!$AC$4,cal!D66)</f>
        <v>0</v>
      </c>
      <c r="E67" s="258">
        <f>IF($E$10&lt;=$E$11,"",cal!E66)</f>
        <v>0</v>
      </c>
      <c r="F67" s="259" t="e">
        <f>IF($E$10&lt;=$E$11,"",cal!F66)</f>
        <v>#NUM!</v>
      </c>
      <c r="G67" s="260">
        <f>IF($K$10&gt;=$K$11,cal!$AC$5,cal!G66)</f>
        <v>0</v>
      </c>
      <c r="H67" s="260">
        <f>IF($K$10&gt;=$K$11,"",cal!H66)</f>
        <v>0</v>
      </c>
      <c r="I67" s="258">
        <f>IF($K$10&gt;=$K$11,"",cal!I66)</f>
        <v>0</v>
      </c>
      <c r="J67" s="261" t="e">
        <f>IF($K$10&gt;=$K$11,"",cal!J66)</f>
        <v>#NUM!</v>
      </c>
      <c r="K67" s="262" t="str">
        <f>IF(cal!K66=-8,"",cal!K66)</f>
        <v/>
      </c>
      <c r="L67" s="263" t="str">
        <f>IF(cal!L66=0,"",cal!L66)</f>
        <v/>
      </c>
      <c r="M67" s="264" t="str">
        <f>IF(cal!M66=0,"",cal!M66)</f>
        <v/>
      </c>
      <c r="N67" s="265" t="str">
        <f>IF(cal!N66=0,"",cal!N66)</f>
        <v/>
      </c>
      <c r="O67" s="260"/>
      <c r="P67" s="265"/>
      <c r="Q67" s="194"/>
      <c r="R67" s="194"/>
      <c r="S67" s="266"/>
      <c r="T67" s="194"/>
      <c r="U67" s="194"/>
    </row>
    <row r="68" spans="2:21" ht="0.25" customHeight="1" x14ac:dyDescent="0.35">
      <c r="B68" s="110">
        <f>cal!B67</f>
        <v>0.6</v>
      </c>
      <c r="C68" s="111">
        <f>cal!C67</f>
        <v>6</v>
      </c>
      <c r="D68" s="257">
        <f>IF($E$10&lt;=$E$11,"",cal!D67)</f>
        <v>0</v>
      </c>
      <c r="E68" s="258">
        <f>IF($E$10&lt;=$E$11,"",cal!E67)</f>
        <v>0</v>
      </c>
      <c r="F68" s="259" t="e">
        <f>IF($E$10&lt;=$E$11,"",cal!F67)</f>
        <v>#NUM!</v>
      </c>
      <c r="G68" s="260">
        <f>IF($K$10&gt;=$K$11,"",cal!G67)</f>
        <v>0</v>
      </c>
      <c r="H68" s="260">
        <f>IF($K$10&gt;=$K$11,"",cal!H67)</f>
        <v>0</v>
      </c>
      <c r="I68" s="258">
        <f>IF($K$10&gt;=$K$11,"",cal!I67)</f>
        <v>0</v>
      </c>
      <c r="J68" s="261" t="e">
        <f>IF($K$10&gt;=$K$11,"",cal!J67)</f>
        <v>#NUM!</v>
      </c>
      <c r="K68" s="262" t="str">
        <f>IF(cal!K67=-8,"",cal!K67)</f>
        <v/>
      </c>
      <c r="L68" s="263" t="str">
        <f>IF(cal!L67=0,"",cal!L67)</f>
        <v/>
      </c>
      <c r="M68" s="264" t="str">
        <f>IF(cal!M67=0,"",cal!M67)</f>
        <v/>
      </c>
      <c r="N68" s="265" t="str">
        <f>IF(cal!N67=0,"",cal!N67)</f>
        <v/>
      </c>
      <c r="O68" s="260"/>
      <c r="P68" s="265"/>
      <c r="Q68" s="194"/>
      <c r="R68" s="194"/>
      <c r="S68" s="266"/>
      <c r="T68" s="194"/>
      <c r="U68" s="194"/>
    </row>
    <row r="69" spans="2:21" ht="0.25" customHeight="1" x14ac:dyDescent="0.35">
      <c r="B69" s="110">
        <f>cal!B68</f>
        <v>0.8</v>
      </c>
      <c r="C69" s="111">
        <f>cal!C68</f>
        <v>8</v>
      </c>
      <c r="D69" s="257">
        <f>IF($E$10&lt;=$E$11,"",cal!D68)</f>
        <v>0</v>
      </c>
      <c r="E69" s="258">
        <f>IF($E$10&lt;=$E$11,"",cal!E68)</f>
        <v>0</v>
      </c>
      <c r="F69" s="259" t="e">
        <f>IF($E$10&lt;=$E$11,"",cal!F68)</f>
        <v>#NUM!</v>
      </c>
      <c r="G69" s="260">
        <f>IF($K$10&gt;=$K$11,"",cal!G68)</f>
        <v>0</v>
      </c>
      <c r="H69" s="260">
        <f>IF($K$10&gt;=$K$11,"",cal!H68)</f>
        <v>0</v>
      </c>
      <c r="I69" s="258">
        <f>IF($K$10&gt;=$K$11,"",cal!I68)</f>
        <v>0</v>
      </c>
      <c r="J69" s="261" t="e">
        <f>IF($K$10&gt;=$K$11,"",cal!J68)</f>
        <v>#NUM!</v>
      </c>
      <c r="K69" s="262" t="str">
        <f>IF(cal!K68=-8,"",cal!K68)</f>
        <v/>
      </c>
      <c r="L69" s="263" t="str">
        <f>IF(cal!L68=0,"",cal!L68)</f>
        <v/>
      </c>
      <c r="M69" s="264" t="str">
        <f>IF(cal!M68=0,"",cal!M68)</f>
        <v/>
      </c>
      <c r="N69" s="265" t="str">
        <f>IF(cal!N68=0,"",cal!N68)</f>
        <v/>
      </c>
      <c r="O69" s="260"/>
      <c r="P69" s="265"/>
      <c r="Q69" s="194"/>
      <c r="R69" s="194"/>
      <c r="S69" s="266"/>
      <c r="T69" s="194"/>
      <c r="U69" s="194"/>
    </row>
    <row r="70" spans="2:21" ht="0.25" customHeight="1" x14ac:dyDescent="0.35">
      <c r="B70" s="110">
        <f>cal!B69</f>
        <v>1</v>
      </c>
      <c r="C70" s="111">
        <f>cal!C69</f>
        <v>10</v>
      </c>
      <c r="D70" s="257">
        <f>IF($E$10&lt;=$E$11,"",cal!D69)</f>
        <v>0</v>
      </c>
      <c r="E70" s="258">
        <f>IF($E$10&lt;=$E$11,"",cal!E69)</f>
        <v>0</v>
      </c>
      <c r="F70" s="259" t="e">
        <f>IF($E$10&lt;=$E$11,"",cal!F69)</f>
        <v>#NUM!</v>
      </c>
      <c r="G70" s="260">
        <f>IF($K$10&gt;=$K$11,"",cal!G69)</f>
        <v>0</v>
      </c>
      <c r="H70" s="260">
        <f>IF($K$10&gt;=$K$11,"",cal!H69)</f>
        <v>0</v>
      </c>
      <c r="I70" s="258">
        <f>IF($K$10&gt;=$K$11,"",cal!I69)</f>
        <v>0</v>
      </c>
      <c r="J70" s="261" t="e">
        <f>IF($K$10&gt;=$K$11,"",cal!J69)</f>
        <v>#NUM!</v>
      </c>
      <c r="K70" s="262" t="str">
        <f>IF(cal!K69=-8,"",cal!K69)</f>
        <v/>
      </c>
      <c r="L70" s="263" t="str">
        <f>IF(cal!L69=0,"",cal!L69)</f>
        <v/>
      </c>
      <c r="M70" s="264" t="str">
        <f>IF(cal!M69=0,"",cal!M69)</f>
        <v/>
      </c>
      <c r="N70" s="265" t="str">
        <f>IF(cal!N69=0,"",cal!N69)</f>
        <v/>
      </c>
      <c r="O70" s="260"/>
      <c r="P70" s="265"/>
      <c r="Q70" s="194"/>
      <c r="R70" s="194"/>
      <c r="S70" s="266"/>
      <c r="T70" s="194"/>
      <c r="U70" s="194"/>
    </row>
    <row r="71" spans="2:21" ht="9.4" customHeight="1" x14ac:dyDescent="0.35">
      <c r="B71" s="236" t="str">
        <f>cal!B70</f>
        <v>*Values according to EN 16430</v>
      </c>
      <c r="C71" s="237"/>
      <c r="D71" s="237"/>
      <c r="E71" s="237"/>
      <c r="F71" s="237"/>
      <c r="G71" s="237"/>
      <c r="H71" s="237"/>
      <c r="I71" s="237"/>
      <c r="J71" s="237"/>
      <c r="K71" s="237"/>
      <c r="L71" s="237"/>
      <c r="M71" s="237"/>
      <c r="N71" s="237"/>
      <c r="O71" s="238"/>
      <c r="P71" s="238" t="s">
        <v>235</v>
      </c>
      <c r="S71" s="109"/>
    </row>
    <row r="72" spans="2:21" ht="9.4" customHeight="1" x14ac:dyDescent="0.35">
      <c r="B72" s="112" t="str">
        <f>cal!B71</f>
        <v>**Sound power according to ISO 3741:2010</v>
      </c>
    </row>
    <row r="73" spans="2:21" ht="9" customHeight="1" x14ac:dyDescent="0.35">
      <c r="B73" s="112" t="str">
        <f>cal!B72</f>
        <v>***Sound pressure with an assumed room damping of 8dB(A)</v>
      </c>
    </row>
    <row r="74" spans="2:21" ht="16.149999999999999" hidden="1" customHeight="1" x14ac:dyDescent="0.35"/>
    <row r="75" spans="2:21" ht="14.5" hidden="1" x14ac:dyDescent="0.35"/>
    <row r="76" spans="2:21" ht="14.5" hidden="1" x14ac:dyDescent="0.35"/>
    <row r="77" spans="2:21" ht="14.5" hidden="1" x14ac:dyDescent="0.35"/>
    <row r="78" spans="2:21" ht="14.5" hidden="1" x14ac:dyDescent="0.35"/>
    <row r="79" spans="2:21" ht="14.5" hidden="1" x14ac:dyDescent="0.35"/>
    <row r="80" spans="2:21" ht="14.5" hidden="1" x14ac:dyDescent="0.35"/>
    <row r="81" ht="14.5" hidden="1" x14ac:dyDescent="0.35"/>
  </sheetData>
  <sheetProtection algorithmName="SHA-512" hashValue="WhwW9Q4ixUVWvFgFrTe6F09FpL4y/e3B+mVUiAPw+Abk6EwapJCW2q77uVZUDsm+W/akj70CJwv/AhPZ3J5FKw==" saltValue="XnwBs3wCdMbMh5x6UrkF3Q==" spinCount="100000" sheet="1" objects="1" scenarios="1" selectLockedCells="1"/>
  <dataConsolidate/>
  <mergeCells count="32">
    <mergeCell ref="M1:Q1"/>
    <mergeCell ref="M2:Q2"/>
    <mergeCell ref="M3:Q3"/>
    <mergeCell ref="B2:L2"/>
    <mergeCell ref="B12:D12"/>
    <mergeCell ref="G12:J12"/>
    <mergeCell ref="M10:N10"/>
    <mergeCell ref="K6:N6"/>
    <mergeCell ref="G5:J5"/>
    <mergeCell ref="K4:L5"/>
    <mergeCell ref="B11:D11"/>
    <mergeCell ref="G11:J11"/>
    <mergeCell ref="M11:N14"/>
    <mergeCell ref="G13:J13"/>
    <mergeCell ref="G4:J4"/>
    <mergeCell ref="G6:J6"/>
    <mergeCell ref="M4:N4"/>
    <mergeCell ref="M5:N5"/>
    <mergeCell ref="B47:P47"/>
    <mergeCell ref="B53:P53"/>
    <mergeCell ref="B59:P59"/>
    <mergeCell ref="B10:D10"/>
    <mergeCell ref="G10:J10"/>
    <mergeCell ref="M8:N8"/>
    <mergeCell ref="M9:N9"/>
    <mergeCell ref="B5:D5"/>
    <mergeCell ref="B65:P65"/>
    <mergeCell ref="B17:P17"/>
    <mergeCell ref="B23:P23"/>
    <mergeCell ref="B29:P29"/>
    <mergeCell ref="B35:P35"/>
    <mergeCell ref="B41:P41"/>
  </mergeCells>
  <dataValidations count="5">
    <dataValidation allowBlank="1" showInputMessage="1" sqref="E10:E12" xr:uid="{00000000-0002-0000-0000-000000000000}"/>
    <dataValidation type="decimal" errorStyle="information" allowBlank="1" prompt="20°C bis 35°C" sqref="K13" xr:uid="{00000000-0002-0000-0000-000001000000}">
      <formula1>0.3</formula1>
      <formula2>0.8</formula2>
    </dataValidation>
    <dataValidation type="whole" errorStyle="information" allowBlank="1" prompt="Eingabe zwischen 5°C bis 20°C" sqref="K10" xr:uid="{00000000-0002-0000-0000-000002000000}">
      <formula1>5</formula1>
      <formula2>20</formula2>
    </dataValidation>
    <dataValidation type="whole" errorStyle="information" allowBlank="1" error="Eingabe außerhalb des gültigen Bereichs." prompt="Eingabe zwischen Vorlauftemp. und Raumtemp." sqref="K11" xr:uid="{00000000-0002-0000-0000-000003000000}">
      <formula1>K10</formula1>
      <formula2>K12</formula2>
    </dataValidation>
    <dataValidation type="whole" errorStyle="information" allowBlank="1" error="Eingabe außerhalb des gültigen Bereichs." prompt="20°C bis 35°C" sqref="K12" xr:uid="{00000000-0002-0000-0000-000004000000}">
      <formula1>20</formula1>
      <formula2>35</formula2>
    </dataValidation>
  </dataValidations>
  <pageMargins left="0.25" right="0.25" top="0.75" bottom="0.75" header="0.3" footer="0.3"/>
  <pageSetup paperSize="9" orientation="portrait" r:id="rId1"/>
  <headerFooter>
    <oddFooter xml:space="preserve">&amp;C&amp;8
</oddFooter>
  </headerFooter>
  <ignoredErrors>
    <ignoredError sqref="B66:C70 B48:C52 B43:C46 B36:C40 B30:C34 B24:C28 B22:C22 B54:C56 B18:C18 K18:N18 K19:N22 K24:N28 K30:N34 K36:N40 B42:C42 B19:C19 B20:C20 B21:C21" unlockedFormula="1"/>
  </ignoredErrors>
  <drawing r:id="rId2"/>
  <legacyDrawing r:id="rId3"/>
  <controls>
    <mc:AlternateContent xmlns:mc="http://schemas.openxmlformats.org/markup-compatibility/2006">
      <mc:Choice Requires="x14">
        <control shapeId="6149" r:id="rId4" name="rbtnSI">
          <controlPr defaultSize="0" autoFill="0" autoLine="0" autoPict="0" r:id="rId5">
            <anchor moveWithCells="1">
              <from>
                <xdr:col>12</xdr:col>
                <xdr:colOff>38100</xdr:colOff>
                <xdr:row>10</xdr:row>
                <xdr:rowOff>38100</xdr:rowOff>
              </from>
              <to>
                <xdr:col>13</xdr:col>
                <xdr:colOff>292100</xdr:colOff>
                <xdr:row>11</xdr:row>
                <xdr:rowOff>152400</xdr:rowOff>
              </to>
            </anchor>
          </controlPr>
        </control>
      </mc:Choice>
      <mc:Fallback>
        <control shapeId="6149" r:id="rId4" name="rbtnSI"/>
      </mc:Fallback>
    </mc:AlternateContent>
    <mc:AlternateContent xmlns:mc="http://schemas.openxmlformats.org/markup-compatibility/2006">
      <mc:Choice Requires="x14">
        <control shapeId="6150" r:id="rId6" name="rbtnImperial">
          <controlPr defaultSize="0" autoFill="0" autoLine="0" autoPict="0" r:id="rId7">
            <anchor moveWithCells="1">
              <from>
                <xdr:col>12</xdr:col>
                <xdr:colOff>38100</xdr:colOff>
                <xdr:row>11</xdr:row>
                <xdr:rowOff>107950</xdr:rowOff>
              </from>
              <to>
                <xdr:col>13</xdr:col>
                <xdr:colOff>444500</xdr:colOff>
                <xdr:row>13</xdr:row>
                <xdr:rowOff>50800</xdr:rowOff>
              </to>
            </anchor>
          </controlPr>
        </control>
      </mc:Choice>
      <mc:Fallback>
        <control shapeId="6150" r:id="rId6" name="rbtnImperial"/>
      </mc:Fallback>
    </mc:AlternateContent>
    <mc:AlternateContent xmlns:mc="http://schemas.openxmlformats.org/markup-compatibility/2006">
      <mc:Choice Requires="x14">
        <control shapeId="6153" r:id="rId8" name="btnCopy">
          <controlPr defaultSize="0" autoLine="0" r:id="rId9">
            <anchor moveWithCells="1">
              <from>
                <xdr:col>1</xdr:col>
                <xdr:colOff>203200</xdr:colOff>
                <xdr:row>3</xdr:row>
                <xdr:rowOff>12700</xdr:rowOff>
              </from>
              <to>
                <xdr:col>5</xdr:col>
                <xdr:colOff>247650</xdr:colOff>
                <xdr:row>5</xdr:row>
                <xdr:rowOff>12700</xdr:rowOff>
              </to>
            </anchor>
          </controlPr>
        </control>
      </mc:Choice>
      <mc:Fallback>
        <control shapeId="6153" r:id="rId8" name="btnCopy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cal!$G$1:$N$1</xm:f>
          </x14:formula1>
          <xm:sqref>K4:L5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/>
  <dimension ref="A1:R71"/>
  <sheetViews>
    <sheetView workbookViewId="0">
      <selection activeCell="G6" sqref="G6:J6"/>
    </sheetView>
  </sheetViews>
  <sheetFormatPr defaultColWidth="11.453125" defaultRowHeight="14.5" x14ac:dyDescent="0.35"/>
  <cols>
    <col min="1" max="1" width="7" style="1" customWidth="1"/>
    <col min="2" max="2" width="6.1796875" style="1" customWidth="1"/>
    <col min="3" max="3" width="7" style="1" customWidth="1"/>
    <col min="4" max="4" width="6.7265625" style="1" customWidth="1"/>
    <col min="5" max="15" width="7" style="1" customWidth="1"/>
    <col min="16" max="16384" width="11.453125" style="1"/>
  </cols>
  <sheetData>
    <row r="1" spans="1:18" x14ac:dyDescent="0.35">
      <c r="A1" s="21"/>
    </row>
    <row r="2" spans="1:18" x14ac:dyDescent="0.35">
      <c r="A2" s="23" t="s">
        <v>33</v>
      </c>
      <c r="B2" s="22"/>
    </row>
    <row r="3" spans="1:18" x14ac:dyDescent="0.35">
      <c r="A3" s="21"/>
    </row>
    <row r="4" spans="1:18" x14ac:dyDescent="0.35">
      <c r="A4" s="28" t="s">
        <v>31</v>
      </c>
    </row>
    <row r="5" spans="1:18" ht="6" customHeight="1" thickBot="1" x14ac:dyDescent="0.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" thickBot="1" x14ac:dyDescent="0.4">
      <c r="A6" s="12" t="s">
        <v>205</v>
      </c>
      <c r="B6" s="7"/>
      <c r="C6" s="7"/>
      <c r="D6" s="7"/>
      <c r="E6" s="7"/>
      <c r="F6" s="7"/>
      <c r="G6" s="7"/>
      <c r="H6" s="7"/>
      <c r="I6" s="7"/>
      <c r="J6" s="7"/>
      <c r="K6" s="7"/>
      <c r="L6" s="365" t="s">
        <v>227</v>
      </c>
      <c r="M6" s="366"/>
    </row>
    <row r="7" spans="1:18" ht="15" thickBot="1" x14ac:dyDescent="0.4">
      <c r="A7" s="12" t="s">
        <v>221</v>
      </c>
      <c r="B7" s="7"/>
      <c r="C7" s="7"/>
      <c r="D7" s="7"/>
      <c r="E7" s="7"/>
      <c r="F7" s="8" t="s">
        <v>224</v>
      </c>
      <c r="G7" s="8"/>
      <c r="H7" s="8"/>
      <c r="I7" s="7"/>
      <c r="J7" s="7"/>
      <c r="K7" s="7"/>
      <c r="L7" s="367"/>
      <c r="M7" s="368"/>
      <c r="Q7" s="1" t="s">
        <v>200</v>
      </c>
    </row>
    <row r="8" spans="1:18" ht="15" thickBot="1" x14ac:dyDescent="0.4">
      <c r="A8" s="361" t="s">
        <v>222</v>
      </c>
      <c r="B8" s="362"/>
      <c r="C8" s="362"/>
      <c r="D8" s="62">
        <f>cal!E9</f>
        <v>75</v>
      </c>
      <c r="E8" s="48" t="str">
        <f>IF(cal!$X$4=1,"°C",IF(cal!$X$4=2,"°F"))</f>
        <v>°C</v>
      </c>
      <c r="F8" s="362" t="str">
        <f>A8</f>
        <v>Voda na přívodu</v>
      </c>
      <c r="G8" s="362"/>
      <c r="H8" s="362"/>
      <c r="I8" s="362"/>
      <c r="J8" s="62">
        <f>cal!K9</f>
        <v>16</v>
      </c>
      <c r="K8" s="7" t="str">
        <f>E8</f>
        <v>°C</v>
      </c>
      <c r="L8" s="363" t="s">
        <v>226</v>
      </c>
      <c r="M8" s="364"/>
      <c r="Q8" s="1" t="s">
        <v>201</v>
      </c>
    </row>
    <row r="9" spans="1:18" ht="15" thickTop="1" x14ac:dyDescent="0.35">
      <c r="A9" s="361" t="s">
        <v>223</v>
      </c>
      <c r="B9" s="362"/>
      <c r="C9" s="362"/>
      <c r="D9" s="62">
        <f>cal!E10</f>
        <v>65</v>
      </c>
      <c r="E9" s="48" t="str">
        <f>E8</f>
        <v>°C</v>
      </c>
      <c r="F9" s="362" t="str">
        <f>A9</f>
        <v>Voda na zpátečce</v>
      </c>
      <c r="G9" s="362"/>
      <c r="H9" s="362"/>
      <c r="I9" s="362"/>
      <c r="J9" s="62">
        <f>cal!K10</f>
        <v>18</v>
      </c>
      <c r="K9" s="7" t="str">
        <f>E8</f>
        <v>°C</v>
      </c>
      <c r="L9" s="7"/>
      <c r="M9" s="13"/>
      <c r="Q9" s="1" t="s">
        <v>202</v>
      </c>
    </row>
    <row r="10" spans="1:18" x14ac:dyDescent="0.35">
      <c r="A10" s="361" t="s">
        <v>229</v>
      </c>
      <c r="B10" s="362"/>
      <c r="C10" s="362"/>
      <c r="D10" s="62">
        <f>cal!E11</f>
        <v>20</v>
      </c>
      <c r="E10" s="48" t="str">
        <f>E8</f>
        <v>°C</v>
      </c>
      <c r="F10" s="362" t="str">
        <f>A10</f>
        <v>"Suchá" Teplota vzduchu</v>
      </c>
      <c r="G10" s="362"/>
      <c r="H10" s="362"/>
      <c r="I10" s="362"/>
      <c r="J10" s="62">
        <f>cal!K11</f>
        <v>27</v>
      </c>
      <c r="K10" s="7" t="str">
        <f>E8</f>
        <v>°C</v>
      </c>
      <c r="L10" s="7"/>
      <c r="M10" s="13"/>
    </row>
    <row r="11" spans="1:18" x14ac:dyDescent="0.35">
      <c r="A11" s="14"/>
      <c r="B11" s="7"/>
      <c r="C11" s="7"/>
      <c r="D11" s="7"/>
      <c r="E11" s="7"/>
      <c r="F11" s="362" t="s">
        <v>225</v>
      </c>
      <c r="G11" s="362"/>
      <c r="H11" s="362"/>
      <c r="I11" s="7"/>
      <c r="J11" s="50">
        <f>cal!K12</f>
        <v>0.5</v>
      </c>
      <c r="K11" s="7"/>
      <c r="L11" s="7"/>
      <c r="M11" s="13"/>
    </row>
    <row r="12" spans="1:18" ht="6" customHeight="1" x14ac:dyDescent="0.3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3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35">
      <c r="A14" s="26" t="s">
        <v>211</v>
      </c>
      <c r="B14" s="19" t="s">
        <v>212</v>
      </c>
      <c r="C14" s="26" t="str">
        <f>CONCATENATE("Výkon Topení * ",ROUND(D8,0),"/",ROUND(D9,0),"/",ROUND(D10,0)," ["&amp;IF(cal!$X$4=1,"W",IF(cal!$X$4=2,"Btu/h"))&amp;"]")</f>
        <v>Výkon Topení * 75/65/20 [W]</v>
      </c>
      <c r="D14" s="29" t="str">
        <f>"Průtok vody, topení ["&amp;IF(cal!$X$4=1,"l/h",IF(cal!$X$4=2,"GPM"))&amp;"]"</f>
        <v>Průtok vody, topení [l/h]</v>
      </c>
      <c r="E14" s="32" t="str">
        <f>"Tlaková ztráta ["&amp;IF(cal!$X$4=1,"kPa",IF(cal!$X$4=2,"inH2O"))&amp;"]"</f>
        <v>Tlaková ztráta [kPa]</v>
      </c>
      <c r="F14" s="19" t="str">
        <f>CONCATENATE("Výkon chlazení Znatelný * ",ROUND(J8,0),"/",ROUND(J9,0),"/",ROUND(J10,0)," ["&amp;IF(cal!$X$4=1,"W",IF(cal!$X$4=2,"Btu/h"))&amp;"]")</f>
        <v>Výkon chlazení Znatelný * 16/18/27 [W]</v>
      </c>
      <c r="G14" s="19" t="str">
        <f>CONCATENATE("Výkon chlazení Celkový ",ROUND(J8,0),"/",ROUND(J9,0),"/",ROUND(J10,0)," ["&amp;IF(cal!$X$4=1,"W",IF(cal!$X$4=2,"Btu/h"))&amp;"]")</f>
        <v>Výkon chlazení Celkový 16/18/27 [W]</v>
      </c>
      <c r="H14" s="19" t="str">
        <f>"Průtok vody,chlazení ["&amp;IF(cal!$X$4=1,"l/h",IF(cal!$X$4=2,"GPM"))&amp;"]"</f>
        <v>Průtok vody,chlazení [l/h]</v>
      </c>
      <c r="I14" s="20" t="str">
        <f>E14</f>
        <v>Tlaková ztráta [kPa]</v>
      </c>
      <c r="J14" s="153" t="s">
        <v>208</v>
      </c>
      <c r="K14" s="157" t="s">
        <v>209</v>
      </c>
      <c r="L14" s="154" t="s">
        <v>210</v>
      </c>
      <c r="M14" s="25" t="str">
        <f>"Průtok vzduchu ["&amp;IF(cal!$X$4=1,"m³/h",IF(cal!$X$4=2,"CFM"))&amp;"]"</f>
        <v>Průtok vzduchu [m³/h]</v>
      </c>
      <c r="N14" s="195" t="str">
        <f>"Air exhaust temp. heating ["&amp;IF(cal!$X$4=1,"°C",IF(cal!$X$4=2,"°F"))&amp;"]"</f>
        <v>Air exhaust temp. heating [°C]</v>
      </c>
      <c r="O14" s="196" t="str">
        <f>"Air exhaust temp. cooling ["&amp;IF(cal!$X$4=1,"°C",IF(cal!$X$4=2,"°F"))&amp;"]"</f>
        <v>Air exhaust temp. cooling [°C]</v>
      </c>
    </row>
    <row r="15" spans="1:18" ht="18" customHeight="1" x14ac:dyDescent="0.35">
      <c r="A15" s="337" t="str">
        <f>cal!$Z$1&amp;", "&amp;$R$15&amp;" "&amp;ROUND(cal!Y22,1)&amp;IF(cal!$X$4=1," cm",IF(cal!$X$4=2," in"))&amp;", "&amp;$R$16&amp;" "&amp;ROUND(cal!AA22,1)&amp;IF(cal!$X$4=1," cm",IF(cal!$X$4=2," in"))&amp;", "&amp;$R$17&amp;" "&amp;ROUND(cal!AC22,1)&amp;IF(cal!$X$4=1," cm",IF(cal!$X$4=2," in"))&amp;" (Typ 1)"</f>
        <v>Freedom, Výška 20 cm, Šířka 19 cm, Délka 74 cm (Typ 1)</v>
      </c>
      <c r="B15" s="338"/>
      <c r="C15" s="337"/>
      <c r="D15" s="339"/>
      <c r="E15" s="338"/>
      <c r="F15" s="338"/>
      <c r="G15" s="338"/>
      <c r="H15" s="338"/>
      <c r="I15" s="338"/>
      <c r="J15" s="337"/>
      <c r="K15" s="338"/>
      <c r="L15" s="338"/>
      <c r="M15" s="339"/>
      <c r="Q15" s="1" t="s">
        <v>205</v>
      </c>
      <c r="R15" s="92" t="s">
        <v>230</v>
      </c>
    </row>
    <row r="16" spans="1:18" x14ac:dyDescent="0.3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206</v>
      </c>
      <c r="R16" s="92" t="s">
        <v>232</v>
      </c>
    </row>
    <row r="17" spans="1:18" x14ac:dyDescent="0.3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207</v>
      </c>
      <c r="R17" s="92" t="s">
        <v>231</v>
      </c>
    </row>
    <row r="18" spans="1:18" x14ac:dyDescent="0.3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3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3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35">
      <c r="A21" s="337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 2)"</f>
        <v>Freedom Výška 20 cm Šířka 19 cm Délka 110 cm (Typ 2)</v>
      </c>
      <c r="B21" s="338"/>
      <c r="C21" s="337"/>
      <c r="D21" s="339"/>
      <c r="E21" s="338"/>
      <c r="F21" s="338"/>
      <c r="G21" s="338"/>
      <c r="H21" s="338"/>
      <c r="I21" s="338"/>
      <c r="J21" s="337"/>
      <c r="K21" s="338"/>
      <c r="L21" s="338"/>
      <c r="M21" s="339"/>
    </row>
    <row r="22" spans="1:18" x14ac:dyDescent="0.3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3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3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3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3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35">
      <c r="A27" s="337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Freedom Výška 20 cm Šířka 19 cm Délka 145 cm (Type 3)</v>
      </c>
      <c r="B27" s="338"/>
      <c r="C27" s="337"/>
      <c r="D27" s="339"/>
      <c r="E27" s="338"/>
      <c r="F27" s="338"/>
      <c r="G27" s="338"/>
      <c r="H27" s="338"/>
      <c r="I27" s="338"/>
      <c r="J27" s="337"/>
      <c r="K27" s="338"/>
      <c r="L27" s="338"/>
      <c r="M27" s="339"/>
    </row>
    <row r="28" spans="1:18" x14ac:dyDescent="0.3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3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3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3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3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35">
      <c r="A33" s="337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 4)"</f>
        <v>Freedom Výška 20 cm Šířka 19 cm Délka 181 cm (Typ 4)</v>
      </c>
      <c r="B33" s="338"/>
      <c r="C33" s="337"/>
      <c r="D33" s="339"/>
      <c r="E33" s="338"/>
      <c r="F33" s="338"/>
      <c r="G33" s="338"/>
      <c r="H33" s="338"/>
      <c r="I33" s="338"/>
      <c r="J33" s="337"/>
      <c r="K33" s="338"/>
      <c r="L33" s="338"/>
      <c r="M33" s="339"/>
    </row>
    <row r="34" spans="1:13" x14ac:dyDescent="0.3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3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3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3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ht="15" customHeight="1" x14ac:dyDescent="0.3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35">
      <c r="A39" s="337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 5)"</f>
        <v>Freedom Výška 0 cm Šířka 0 cm Délka 0 cm (Typ 5)</v>
      </c>
      <c r="B39" s="338"/>
      <c r="C39" s="337"/>
      <c r="D39" s="339"/>
      <c r="E39" s="338"/>
      <c r="F39" s="338"/>
      <c r="G39" s="338"/>
      <c r="H39" s="338"/>
      <c r="I39" s="338"/>
      <c r="J39" s="337"/>
      <c r="K39" s="338"/>
      <c r="L39" s="338"/>
      <c r="M39" s="339"/>
    </row>
    <row r="40" spans="1:13" ht="15" customHeight="1" x14ac:dyDescent="0.3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3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3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3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3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ht="15" customHeight="1" x14ac:dyDescent="0.35">
      <c r="A45" s="337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 6)"</f>
        <v>Freedom Výška 0 cm Šířka 0 cm Délka 0 cm (Typ 6)</v>
      </c>
      <c r="B45" s="338"/>
      <c r="C45" s="337"/>
      <c r="D45" s="339"/>
      <c r="E45" s="338"/>
      <c r="F45" s="338"/>
      <c r="G45" s="338"/>
      <c r="H45" s="338"/>
      <c r="I45" s="338"/>
      <c r="J45" s="337"/>
      <c r="K45" s="338"/>
      <c r="L45" s="338"/>
      <c r="M45" s="339"/>
    </row>
    <row r="46" spans="1:13" ht="15" customHeight="1" x14ac:dyDescent="0.3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3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3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3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3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35">
      <c r="A51" s="337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 7)"</f>
        <v>Freedom Výška 0 cm Šířka 0 cm Délka 0 cm (Typ 7)</v>
      </c>
      <c r="B51" s="338"/>
      <c r="C51" s="337"/>
      <c r="D51" s="339"/>
      <c r="E51" s="338"/>
      <c r="F51" s="338"/>
      <c r="G51" s="338"/>
      <c r="H51" s="338"/>
      <c r="I51" s="338"/>
      <c r="J51" s="337"/>
      <c r="K51" s="338"/>
      <c r="L51" s="338"/>
      <c r="M51" s="339"/>
    </row>
    <row r="52" spans="1:13" ht="15" customHeight="1" x14ac:dyDescent="0.3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3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3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3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3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35">
      <c r="A57" s="337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 8)"</f>
        <v>Freedom Výška 0 cm Šířka 0 cm Délka 0 cm (Typ 8)</v>
      </c>
      <c r="B57" s="338"/>
      <c r="C57" s="337"/>
      <c r="D57" s="339"/>
      <c r="E57" s="338"/>
      <c r="F57" s="338"/>
      <c r="G57" s="338"/>
      <c r="H57" s="338"/>
      <c r="I57" s="338"/>
      <c r="J57" s="337"/>
      <c r="K57" s="338"/>
      <c r="L57" s="338"/>
      <c r="M57" s="339"/>
    </row>
    <row r="58" spans="1:13" ht="15" customHeight="1" x14ac:dyDescent="0.3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3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3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3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3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35">
      <c r="A63" s="337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 9)"</f>
        <v>Freedom Výška 0 cm Šířka 0 cm Délka 0 cm (Typ 9)</v>
      </c>
      <c r="B63" s="338"/>
      <c r="C63" s="337"/>
      <c r="D63" s="339"/>
      <c r="E63" s="338"/>
      <c r="F63" s="338"/>
      <c r="G63" s="338"/>
      <c r="H63" s="338"/>
      <c r="I63" s="338"/>
      <c r="J63" s="337"/>
      <c r="K63" s="338"/>
      <c r="L63" s="338"/>
      <c r="M63" s="339"/>
    </row>
    <row r="64" spans="1:13" ht="15" customHeight="1" x14ac:dyDescent="0.3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3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3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3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3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5" customHeight="1" x14ac:dyDescent="0.35">
      <c r="A69" s="6" t="s">
        <v>213</v>
      </c>
      <c r="L69" s="47"/>
      <c r="M69" s="45" t="str">
        <f>cal!N70</f>
        <v>v2022-08-26</v>
      </c>
    </row>
    <row r="70" spans="1:13" ht="9.65" customHeight="1" x14ac:dyDescent="0.35">
      <c r="A70" s="6" t="s">
        <v>214</v>
      </c>
    </row>
    <row r="71" spans="1:13" ht="9.65" customHeight="1" x14ac:dyDescent="0.35">
      <c r="A71" s="6" t="s">
        <v>215</v>
      </c>
    </row>
  </sheetData>
  <sheetProtection selectLockedCells="1"/>
  <mergeCells count="19">
    <mergeCell ref="A63:M63"/>
    <mergeCell ref="A10:C10"/>
    <mergeCell ref="F10:I10"/>
    <mergeCell ref="F11:H11"/>
    <mergeCell ref="A15:M15"/>
    <mergeCell ref="A21:M21"/>
    <mergeCell ref="A27:M27"/>
    <mergeCell ref="A33:M33"/>
    <mergeCell ref="A39:M39"/>
    <mergeCell ref="A45:M45"/>
    <mergeCell ref="A51:M51"/>
    <mergeCell ref="A57:M57"/>
    <mergeCell ref="A9:C9"/>
    <mergeCell ref="F9:I9"/>
    <mergeCell ref="L6:M6"/>
    <mergeCell ref="L7:M7"/>
    <mergeCell ref="A8:C8"/>
    <mergeCell ref="F8:I8"/>
    <mergeCell ref="L8:M8"/>
  </mergeCells>
  <dataValidations count="7">
    <dataValidation type="whole" errorStyle="information" allowBlank="1" showErrorMessage="1" error="Eingabe außerhalb des gültigen Bereichs." prompt="20°C bis 35°C" sqref="J10" xr:uid="{00000000-0002-0000-09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9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9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9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9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9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900-000006000000}">
      <formula1>0.01</formula1>
      <formula2>1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/>
  <dimension ref="A1:R71"/>
  <sheetViews>
    <sheetView topLeftCell="I1" workbookViewId="0">
      <selection activeCell="G6" sqref="G6:J6"/>
    </sheetView>
  </sheetViews>
  <sheetFormatPr defaultColWidth="11.453125" defaultRowHeight="14.5" x14ac:dyDescent="0.35"/>
  <cols>
    <col min="1" max="1" width="7" style="1" customWidth="1"/>
    <col min="2" max="2" width="6.1796875" style="1" customWidth="1"/>
    <col min="3" max="3" width="7" style="1" customWidth="1"/>
    <col min="4" max="4" width="6.7265625" style="1" customWidth="1"/>
    <col min="5" max="15" width="7" style="1" customWidth="1"/>
    <col min="16" max="16384" width="11.453125" style="1"/>
  </cols>
  <sheetData>
    <row r="1" spans="1:18" x14ac:dyDescent="0.35">
      <c r="A1" s="21"/>
    </row>
    <row r="2" spans="1:18" x14ac:dyDescent="0.35">
      <c r="A2" s="23" t="s">
        <v>33</v>
      </c>
      <c r="B2" s="22"/>
    </row>
    <row r="3" spans="1:18" x14ac:dyDescent="0.35">
      <c r="A3" s="21"/>
    </row>
    <row r="4" spans="1:18" x14ac:dyDescent="0.35">
      <c r="A4" s="28" t="s">
        <v>31</v>
      </c>
    </row>
    <row r="5" spans="1:18" ht="6" customHeight="1" thickBot="1" x14ac:dyDescent="0.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" thickBot="1" x14ac:dyDescent="0.4">
      <c r="A6" s="12" t="s">
        <v>22</v>
      </c>
      <c r="B6" s="7"/>
      <c r="C6" s="7"/>
      <c r="D6" s="7"/>
      <c r="E6" s="7"/>
      <c r="F6" s="7"/>
      <c r="G6" s="7"/>
      <c r="H6" s="7"/>
      <c r="I6" s="7"/>
      <c r="J6" s="7"/>
      <c r="K6" s="7"/>
      <c r="L6" s="365" t="s">
        <v>139</v>
      </c>
      <c r="M6" s="366"/>
    </row>
    <row r="7" spans="1:18" ht="15" thickBot="1" x14ac:dyDescent="0.4">
      <c r="A7" s="12" t="s">
        <v>23</v>
      </c>
      <c r="B7" s="7"/>
      <c r="C7" s="7"/>
      <c r="D7" s="7"/>
      <c r="E7" s="7"/>
      <c r="F7" s="8" t="s">
        <v>24</v>
      </c>
      <c r="G7" s="8"/>
      <c r="H7" s="8"/>
      <c r="I7" s="7"/>
      <c r="J7" s="7"/>
      <c r="K7" s="7"/>
      <c r="L7" s="367"/>
      <c r="M7" s="368"/>
      <c r="Q7" s="1" t="s">
        <v>165</v>
      </c>
    </row>
    <row r="8" spans="1:18" ht="15" thickBot="1" x14ac:dyDescent="0.4">
      <c r="A8" s="361" t="str">
        <f>"Inlet temp."</f>
        <v>Inlet temp.</v>
      </c>
      <c r="B8" s="362"/>
      <c r="C8" s="362"/>
      <c r="D8" s="62">
        <f>cal!E9</f>
        <v>75</v>
      </c>
      <c r="E8" s="48" t="str">
        <f>IF(cal!$X$4=1,"°C",IF(cal!$X$4=2,"°F"))</f>
        <v>°C</v>
      </c>
      <c r="F8" s="362" t="str">
        <f>A8</f>
        <v>Inlet temp.</v>
      </c>
      <c r="G8" s="362"/>
      <c r="H8" s="362"/>
      <c r="I8" s="362"/>
      <c r="J8" s="62">
        <f>cal!K9</f>
        <v>16</v>
      </c>
      <c r="K8" s="7" t="str">
        <f>E8</f>
        <v>°C</v>
      </c>
      <c r="L8" s="363" t="s">
        <v>108</v>
      </c>
      <c r="M8" s="364"/>
      <c r="Q8" s="1" t="s">
        <v>166</v>
      </c>
    </row>
    <row r="9" spans="1:18" ht="15" thickTop="1" x14ac:dyDescent="0.35">
      <c r="A9" s="361" t="str">
        <f>"Return temp."</f>
        <v>Return temp.</v>
      </c>
      <c r="B9" s="362"/>
      <c r="C9" s="362"/>
      <c r="D9" s="62">
        <f>cal!E10</f>
        <v>65</v>
      </c>
      <c r="E9" s="48" t="str">
        <f>E8</f>
        <v>°C</v>
      </c>
      <c r="F9" s="362" t="str">
        <f>A9</f>
        <v>Return temp.</v>
      </c>
      <c r="G9" s="362"/>
      <c r="H9" s="362"/>
      <c r="I9" s="362"/>
      <c r="J9" s="62">
        <f>cal!K10</f>
        <v>18</v>
      </c>
      <c r="K9" s="7" t="str">
        <f>E8</f>
        <v>°C</v>
      </c>
      <c r="L9" s="7"/>
      <c r="M9" s="13"/>
      <c r="Q9" s="1" t="s">
        <v>167</v>
      </c>
    </row>
    <row r="10" spans="1:18" x14ac:dyDescent="0.35">
      <c r="A10" s="361" t="str">
        <f>"Room temp."</f>
        <v>Room temp.</v>
      </c>
      <c r="B10" s="362"/>
      <c r="C10" s="362"/>
      <c r="D10" s="62">
        <f>cal!E11</f>
        <v>20</v>
      </c>
      <c r="E10" s="48" t="str">
        <f>E8</f>
        <v>°C</v>
      </c>
      <c r="F10" s="362" t="str">
        <f>A10</f>
        <v>Room temp.</v>
      </c>
      <c r="G10" s="362"/>
      <c r="H10" s="362"/>
      <c r="I10" s="362"/>
      <c r="J10" s="62">
        <f>cal!K11</f>
        <v>27</v>
      </c>
      <c r="K10" s="7" t="str">
        <f>E8</f>
        <v>°C</v>
      </c>
      <c r="L10" s="7"/>
      <c r="M10" s="13"/>
    </row>
    <row r="11" spans="1:18" x14ac:dyDescent="0.35">
      <c r="A11" s="14"/>
      <c r="B11" s="7"/>
      <c r="C11" s="7"/>
      <c r="D11" s="7"/>
      <c r="E11" s="7"/>
      <c r="F11" s="362" t="s">
        <v>147</v>
      </c>
      <c r="G11" s="362"/>
      <c r="H11" s="362"/>
      <c r="I11" s="7"/>
      <c r="J11" s="50">
        <f>cal!K12</f>
        <v>0.5</v>
      </c>
      <c r="K11" s="7"/>
      <c r="L11" s="7"/>
      <c r="M11" s="13"/>
    </row>
    <row r="12" spans="1:18" ht="6" customHeight="1" x14ac:dyDescent="0.3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3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35">
      <c r="A14" s="26" t="s">
        <v>25</v>
      </c>
      <c r="B14" s="19" t="s">
        <v>26</v>
      </c>
      <c r="C14" s="26" t="str">
        <f>CONCATENATE("Heat output * ",ROUND(D8,0),"/",ROUND(D9,0),"/",ROUND(D10,0)," ["&amp;IF(cal!$X$4=1,"W",IF(cal!$X$4=2,"Btu/h"))&amp;"]")</f>
        <v>Heat output * 75/65/20 [W]</v>
      </c>
      <c r="D14" s="29" t="str">
        <f>"Water flowrate, heating ["&amp;IF(cal!$X$4=1,"l/h",IF(cal!$X$4=2,"GPM"))&amp;"]"</f>
        <v>Water flowrate, heating [l/h]</v>
      </c>
      <c r="E14" s="32" t="str">
        <f>"Watersided pressure loss ["&amp;IF(cal!$X$4=1,"kPa",IF(cal!$X$4=2,"inH2O"))&amp;"]"</f>
        <v>Watersided pressure loss [kPa]</v>
      </c>
      <c r="F14" s="19" t="str">
        <f>CONCATENATE("Sens. cooling capacity * ",ROUND(J8,0),"/",ROUND(J9,0),"/",ROUND(J10,0)," ["&amp;IF(cal!$X$4=1,"W",IF(cal!$X$4=2,"Btu/h"))&amp;"]")</f>
        <v>Sens. cooling capacity * 16/18/27 [W]</v>
      </c>
      <c r="G14" s="19" t="str">
        <f>CONCATENATE("Tot. cooling capacity ",ROUND(J8,0),"/",ROUND(J9,0),"/",ROUND(J10,0)," ["&amp;IF(cal!$X$4=1,"W",IF(cal!$X$4=2,"Btu/h"))&amp;"]")</f>
        <v>Tot. cooling capacity 16/18/27 [W]</v>
      </c>
      <c r="H14" s="19" t="str">
        <f>"Water flowrate, cooling ["&amp;IF(cal!$X$4=1,"l/h",IF(cal!$X$4=2,"GPM"))&amp;"]"</f>
        <v>Water flowrate, cooling [l/h]</v>
      </c>
      <c r="I14" s="20" t="str">
        <f>"Watersided pressure loss ["&amp;IF(cal!$X$4=1,"kPa",IF(cal!$X$4=2,"inH2O"))&amp;"]"</f>
        <v>Watersided pressure loss [kPa]</v>
      </c>
      <c r="J14" s="26" t="s">
        <v>27</v>
      </c>
      <c r="K14" s="31" t="s">
        <v>43</v>
      </c>
      <c r="L14" s="19" t="s">
        <v>28</v>
      </c>
      <c r="M14" s="25" t="str">
        <f>"Air flowrate ["&amp;IF(cal!$X$4=1,"m³/h",IF(cal!$X$4=2,"CFM"))&amp;"]"</f>
        <v>Air flowrate [m³/h]</v>
      </c>
      <c r="N14" s="195" t="str">
        <f>"Air exhaust temp. heating ["&amp;IF(cal!$X$4=1,"°C",IF(cal!$X$4=2,"°F"))&amp;"]"</f>
        <v>Air exhaust temp. heating [°C]</v>
      </c>
      <c r="O14" s="196" t="str">
        <f>"Air exhaust temp. cooling ["&amp;IF(cal!$X$4=1,"°C",IF(cal!$X$4=2,"°F"))&amp;"]"</f>
        <v>Air exhaust temp. cooling [°C]</v>
      </c>
    </row>
    <row r="15" spans="1:18" ht="18" customHeight="1" x14ac:dyDescent="0.35">
      <c r="A15" s="337" t="str">
        <f>cal!$Z$1&amp;"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Freedom height 20 cm width 19 cm length 74 cm (Type 1)</v>
      </c>
      <c r="B15" s="338"/>
      <c r="C15" s="337"/>
      <c r="D15" s="339"/>
      <c r="E15" s="338"/>
      <c r="F15" s="338"/>
      <c r="G15" s="338"/>
      <c r="H15" s="338"/>
      <c r="I15" s="338"/>
      <c r="J15" s="337"/>
      <c r="K15" s="338"/>
      <c r="L15" s="338"/>
      <c r="M15" s="339"/>
      <c r="Q15" s="1" t="s">
        <v>95</v>
      </c>
      <c r="R15" s="92" t="s">
        <v>132</v>
      </c>
    </row>
    <row r="16" spans="1:18" x14ac:dyDescent="0.3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98</v>
      </c>
      <c r="R16" s="92" t="s">
        <v>133</v>
      </c>
    </row>
    <row r="17" spans="1:18" x14ac:dyDescent="0.3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99</v>
      </c>
      <c r="R17" s="92" t="s">
        <v>134</v>
      </c>
    </row>
    <row r="18" spans="1:18" x14ac:dyDescent="0.3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3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3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35">
      <c r="A21" s="337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Freedom height 20 cm width 19 cm length 110 cm (Type 2)</v>
      </c>
      <c r="B21" s="338"/>
      <c r="C21" s="337"/>
      <c r="D21" s="339"/>
      <c r="E21" s="338"/>
      <c r="F21" s="338"/>
      <c r="G21" s="338"/>
      <c r="H21" s="338"/>
      <c r="I21" s="338"/>
      <c r="J21" s="337"/>
      <c r="K21" s="338"/>
      <c r="L21" s="338"/>
      <c r="M21" s="339"/>
    </row>
    <row r="22" spans="1:18" x14ac:dyDescent="0.3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3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3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3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3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35">
      <c r="A27" s="337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Freedom height 20 cm width 19 cm length 145 cm (Type 3)</v>
      </c>
      <c r="B27" s="338"/>
      <c r="C27" s="337"/>
      <c r="D27" s="339"/>
      <c r="E27" s="338"/>
      <c r="F27" s="338"/>
      <c r="G27" s="338"/>
      <c r="H27" s="338"/>
      <c r="I27" s="338"/>
      <c r="J27" s="337"/>
      <c r="K27" s="338"/>
      <c r="L27" s="338"/>
      <c r="M27" s="339"/>
    </row>
    <row r="28" spans="1:18" x14ac:dyDescent="0.3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3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3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3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3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35">
      <c r="A33" s="337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Freedom height 20 cm width 19 cm length 181 cm (Type 4)</v>
      </c>
      <c r="B33" s="338"/>
      <c r="C33" s="337"/>
      <c r="D33" s="339"/>
      <c r="E33" s="338"/>
      <c r="F33" s="338"/>
      <c r="G33" s="338"/>
      <c r="H33" s="338"/>
      <c r="I33" s="338"/>
      <c r="J33" s="337"/>
      <c r="K33" s="338"/>
      <c r="L33" s="338"/>
      <c r="M33" s="339"/>
    </row>
    <row r="34" spans="1:13" x14ac:dyDescent="0.3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3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3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3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ht="15" customHeight="1" x14ac:dyDescent="0.3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35">
      <c r="A39" s="337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Freedom height 0 cm width 0 cm length 0 cm (Type 5)</v>
      </c>
      <c r="B39" s="338"/>
      <c r="C39" s="337"/>
      <c r="D39" s="339"/>
      <c r="E39" s="338"/>
      <c r="F39" s="338"/>
      <c r="G39" s="338"/>
      <c r="H39" s="338"/>
      <c r="I39" s="338"/>
      <c r="J39" s="337"/>
      <c r="K39" s="338"/>
      <c r="L39" s="338"/>
      <c r="M39" s="339"/>
    </row>
    <row r="40" spans="1:13" ht="15" customHeight="1" x14ac:dyDescent="0.3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3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3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3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3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ht="15" customHeight="1" x14ac:dyDescent="0.35">
      <c r="A45" s="337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Freedom height 0 cm width 0 cm length 0 cm (Type 6)</v>
      </c>
      <c r="B45" s="338"/>
      <c r="C45" s="337"/>
      <c r="D45" s="339"/>
      <c r="E45" s="338"/>
      <c r="F45" s="338"/>
      <c r="G45" s="338"/>
      <c r="H45" s="338"/>
      <c r="I45" s="338"/>
      <c r="J45" s="337"/>
      <c r="K45" s="338"/>
      <c r="L45" s="338"/>
      <c r="M45" s="339"/>
    </row>
    <row r="46" spans="1:13" ht="15" customHeight="1" x14ac:dyDescent="0.3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3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3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3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3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35">
      <c r="A51" s="337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Freedom height 0 cm width 0 cm length 0 cm (Type 7)</v>
      </c>
      <c r="B51" s="338"/>
      <c r="C51" s="337"/>
      <c r="D51" s="339"/>
      <c r="E51" s="338"/>
      <c r="F51" s="338"/>
      <c r="G51" s="338"/>
      <c r="H51" s="338"/>
      <c r="I51" s="338"/>
      <c r="J51" s="337"/>
      <c r="K51" s="338"/>
      <c r="L51" s="338"/>
      <c r="M51" s="339"/>
    </row>
    <row r="52" spans="1:13" ht="15" customHeight="1" x14ac:dyDescent="0.3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3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3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3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3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35">
      <c r="A57" s="337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Freedom height 0 cm width 0 cm length 0 cm (Type 8)</v>
      </c>
      <c r="B57" s="338"/>
      <c r="C57" s="337"/>
      <c r="D57" s="339"/>
      <c r="E57" s="338"/>
      <c r="F57" s="338"/>
      <c r="G57" s="338"/>
      <c r="H57" s="338"/>
      <c r="I57" s="338"/>
      <c r="J57" s="337"/>
      <c r="K57" s="338"/>
      <c r="L57" s="338"/>
      <c r="M57" s="339"/>
    </row>
    <row r="58" spans="1:13" ht="15" customHeight="1" x14ac:dyDescent="0.3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3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3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3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3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35">
      <c r="A63" s="337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Freedom height 0 cm width 0 cm length 0 cm (Type 9)</v>
      </c>
      <c r="B63" s="338"/>
      <c r="C63" s="337"/>
      <c r="D63" s="339"/>
      <c r="E63" s="338"/>
      <c r="F63" s="338"/>
      <c r="G63" s="338"/>
      <c r="H63" s="338"/>
      <c r="I63" s="338"/>
      <c r="J63" s="337"/>
      <c r="K63" s="338"/>
      <c r="L63" s="338"/>
      <c r="M63" s="339"/>
    </row>
    <row r="64" spans="1:13" ht="15" customHeight="1" x14ac:dyDescent="0.3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3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3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3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3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5" customHeight="1" x14ac:dyDescent="0.35">
      <c r="A69" s="6" t="s">
        <v>58</v>
      </c>
      <c r="L69" s="47"/>
      <c r="M69" s="45" t="str">
        <f>cal!N70</f>
        <v>v2022-08-26</v>
      </c>
    </row>
    <row r="70" spans="1:13" ht="9.65" customHeight="1" x14ac:dyDescent="0.35">
      <c r="A70" s="6" t="s">
        <v>29</v>
      </c>
    </row>
    <row r="71" spans="1:13" ht="9.65" customHeight="1" x14ac:dyDescent="0.35">
      <c r="A71" s="6" t="s">
        <v>30</v>
      </c>
    </row>
  </sheetData>
  <sheetProtection selectLockedCells="1"/>
  <mergeCells count="19">
    <mergeCell ref="A63:M63"/>
    <mergeCell ref="A10:C10"/>
    <mergeCell ref="F10:I10"/>
    <mergeCell ref="F11:H11"/>
    <mergeCell ref="A15:M15"/>
    <mergeCell ref="A21:M21"/>
    <mergeCell ref="A27:M27"/>
    <mergeCell ref="A33:M33"/>
    <mergeCell ref="A39:M39"/>
    <mergeCell ref="A45:M45"/>
    <mergeCell ref="A51:M51"/>
    <mergeCell ref="A57:M57"/>
    <mergeCell ref="A9:C9"/>
    <mergeCell ref="F9:I9"/>
    <mergeCell ref="L6:M6"/>
    <mergeCell ref="L7:M7"/>
    <mergeCell ref="A8:C8"/>
    <mergeCell ref="F8:I8"/>
    <mergeCell ref="L8:M8"/>
  </mergeCells>
  <dataValidations count="7">
    <dataValidation type="decimal" errorStyle="information" allowBlank="1" showErrorMessage="1" error="Eingabe außerhalb des gültigen Bereichs." prompt="20°C bis 35°C" sqref="J11" xr:uid="{00000000-0002-0000-0A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J8" xr:uid="{00000000-0002-0000-0A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J9" xr:uid="{00000000-0002-0000-0A00-000002000000}">
      <formula1>J8</formula1>
      <formula2>J10</formula2>
    </dataValidation>
    <dataValidation type="whole" errorStyle="information" allowBlank="1" showErrorMessage="1" error="Temperatur außerhalb des gütligen Bereichs." prompt="Eingabe zwischen 30°C bis 95°C" sqref="D8" xr:uid="{00000000-0002-0000-0A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D9" xr:uid="{00000000-0002-0000-0A00-000004000000}">
      <formula1>D10</formula1>
      <formula2>D8</formula2>
    </dataValidation>
    <dataValidation type="whole" errorStyle="information" allowBlank="1" showErrorMessage="1" error="Eingabe außerhalb des gültigen Bereichs." prompt="Eingabe zwischen 16°C bis 30°C" sqref="D10" xr:uid="{00000000-0002-0000-0A00-000005000000}">
      <formula1>16</formula1>
      <formula2>30</formula2>
    </dataValidation>
    <dataValidation type="whole" errorStyle="information" allowBlank="1" showErrorMessage="1" error="Eingabe außerhalb des gültigen Bereichs." prompt="20°C bis 35°C" sqref="J10" xr:uid="{00000000-0002-0000-0A00-000006000000}">
      <formula1>20</formula1>
      <formula2>35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2"/>
  <dimension ref="A1:R71"/>
  <sheetViews>
    <sheetView topLeftCell="I1" workbookViewId="0">
      <selection activeCell="G6" sqref="G6:J6"/>
    </sheetView>
  </sheetViews>
  <sheetFormatPr defaultColWidth="11.453125" defaultRowHeight="14.5" x14ac:dyDescent="0.35"/>
  <cols>
    <col min="1" max="1" width="7" style="1" customWidth="1"/>
    <col min="2" max="2" width="6.1796875" style="1" customWidth="1"/>
    <col min="3" max="3" width="7" style="1" customWidth="1"/>
    <col min="4" max="4" width="6.7265625" style="1" customWidth="1"/>
    <col min="5" max="15" width="7" style="1" customWidth="1"/>
    <col min="16" max="16384" width="11.453125" style="1"/>
  </cols>
  <sheetData>
    <row r="1" spans="1:18" x14ac:dyDescent="0.35">
      <c r="A1" s="21"/>
    </row>
    <row r="2" spans="1:18" x14ac:dyDescent="0.35">
      <c r="A2" s="23" t="s">
        <v>33</v>
      </c>
      <c r="B2" s="22"/>
    </row>
    <row r="3" spans="1:18" x14ac:dyDescent="0.35">
      <c r="A3" s="21"/>
    </row>
    <row r="4" spans="1:18" x14ac:dyDescent="0.35">
      <c r="A4" s="28" t="s">
        <v>31</v>
      </c>
    </row>
    <row r="5" spans="1:18" ht="6" customHeight="1" thickBot="1" x14ac:dyDescent="0.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" thickBot="1" x14ac:dyDescent="0.4">
      <c r="A6" s="12" t="s">
        <v>22</v>
      </c>
      <c r="B6" s="7"/>
      <c r="C6" s="7"/>
      <c r="D6" s="7"/>
      <c r="E6" s="7"/>
      <c r="F6" s="7"/>
      <c r="G6" s="7"/>
      <c r="H6" s="7"/>
      <c r="I6" s="7"/>
      <c r="J6" s="7"/>
      <c r="K6" s="7"/>
      <c r="L6" s="365" t="s">
        <v>139</v>
      </c>
      <c r="M6" s="366"/>
    </row>
    <row r="7" spans="1:18" ht="15" thickBot="1" x14ac:dyDescent="0.4">
      <c r="A7" s="12" t="s">
        <v>23</v>
      </c>
      <c r="B7" s="7"/>
      <c r="C7" s="7"/>
      <c r="D7" s="7"/>
      <c r="E7" s="7"/>
      <c r="F7" s="8" t="s">
        <v>24</v>
      </c>
      <c r="G7" s="8"/>
      <c r="H7" s="8"/>
      <c r="I7" s="7"/>
      <c r="J7" s="7"/>
      <c r="K7" s="7"/>
      <c r="L7" s="367"/>
      <c r="M7" s="368"/>
      <c r="Q7" s="1" t="s">
        <v>165</v>
      </c>
    </row>
    <row r="8" spans="1:18" ht="15" thickBot="1" x14ac:dyDescent="0.4">
      <c r="A8" s="361" t="str">
        <f>"Inlet temp."</f>
        <v>Inlet temp.</v>
      </c>
      <c r="B8" s="362"/>
      <c r="C8" s="362"/>
      <c r="D8" s="62">
        <f>cal!E9</f>
        <v>75</v>
      </c>
      <c r="E8" s="48" t="str">
        <f>IF(cal!$X$4=1,"°C",IF(cal!$X$4=2,"°F"))</f>
        <v>°C</v>
      </c>
      <c r="F8" s="362" t="str">
        <f>A8</f>
        <v>Inlet temp.</v>
      </c>
      <c r="G8" s="362"/>
      <c r="H8" s="362"/>
      <c r="I8" s="362"/>
      <c r="J8" s="62">
        <f>cal!K9</f>
        <v>16</v>
      </c>
      <c r="K8" s="7" t="str">
        <f>E8</f>
        <v>°C</v>
      </c>
      <c r="L8" s="363" t="s">
        <v>108</v>
      </c>
      <c r="M8" s="364"/>
      <c r="Q8" s="1" t="s">
        <v>166</v>
      </c>
    </row>
    <row r="9" spans="1:18" ht="15" thickTop="1" x14ac:dyDescent="0.35">
      <c r="A9" s="361" t="str">
        <f>"Return temp."</f>
        <v>Return temp.</v>
      </c>
      <c r="B9" s="362"/>
      <c r="C9" s="362"/>
      <c r="D9" s="62">
        <f>cal!E10</f>
        <v>65</v>
      </c>
      <c r="E9" s="48" t="str">
        <f>E8</f>
        <v>°C</v>
      </c>
      <c r="F9" s="362" t="str">
        <f>A9</f>
        <v>Return temp.</v>
      </c>
      <c r="G9" s="362"/>
      <c r="H9" s="362"/>
      <c r="I9" s="362"/>
      <c r="J9" s="62">
        <f>cal!K10</f>
        <v>18</v>
      </c>
      <c r="K9" s="7" t="str">
        <f>E8</f>
        <v>°C</v>
      </c>
      <c r="L9" s="7"/>
      <c r="M9" s="13"/>
      <c r="Q9" s="1" t="s">
        <v>167</v>
      </c>
    </row>
    <row r="10" spans="1:18" x14ac:dyDescent="0.35">
      <c r="A10" s="361" t="str">
        <f>"Room temp."</f>
        <v>Room temp.</v>
      </c>
      <c r="B10" s="362"/>
      <c r="C10" s="362"/>
      <c r="D10" s="62">
        <f>cal!E11</f>
        <v>20</v>
      </c>
      <c r="E10" s="48" t="str">
        <f>E8</f>
        <v>°C</v>
      </c>
      <c r="F10" s="362" t="str">
        <f>A10</f>
        <v>Room temp.</v>
      </c>
      <c r="G10" s="362"/>
      <c r="H10" s="362"/>
      <c r="I10" s="362"/>
      <c r="J10" s="62">
        <f>cal!K11</f>
        <v>27</v>
      </c>
      <c r="K10" s="7" t="str">
        <f>E8</f>
        <v>°C</v>
      </c>
      <c r="L10" s="7"/>
      <c r="M10" s="13"/>
    </row>
    <row r="11" spans="1:18" x14ac:dyDescent="0.35">
      <c r="A11" s="14"/>
      <c r="B11" s="7"/>
      <c r="C11" s="7"/>
      <c r="D11" s="7"/>
      <c r="E11" s="7"/>
      <c r="F11" s="362" t="s">
        <v>147</v>
      </c>
      <c r="G11" s="362"/>
      <c r="H11" s="362"/>
      <c r="I11" s="7"/>
      <c r="J11" s="50">
        <f>cal!K12</f>
        <v>0.5</v>
      </c>
      <c r="K11" s="7"/>
      <c r="L11" s="7"/>
      <c r="M11" s="13"/>
    </row>
    <row r="12" spans="1:18" ht="6" customHeight="1" x14ac:dyDescent="0.3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3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35">
      <c r="A14" s="26" t="s">
        <v>25</v>
      </c>
      <c r="B14" s="19" t="s">
        <v>26</v>
      </c>
      <c r="C14" s="26" t="str">
        <f>CONCATENATE("Heat output * ",ROUND(D8,0),"/",ROUND(D9,0),"/",ROUND(D10,0)," ["&amp;IF(cal!$X$4=1,"W",IF(cal!$X$4=2,"Btu/h"))&amp;"]")</f>
        <v>Heat output * 75/65/20 [W]</v>
      </c>
      <c r="D14" s="29" t="str">
        <f>"Water flowrate, heating ["&amp;IF(cal!$X$4=1,"l/h",IF(cal!$X$4=2,"GPM"))&amp;"]"</f>
        <v>Water flowrate, heating [l/h]</v>
      </c>
      <c r="E14" s="32" t="str">
        <f>"Watersided pressure loss ["&amp;IF(cal!$X$4=1,"kPa",IF(cal!$X$4=2,"inH2O"))&amp;"]"</f>
        <v>Watersided pressure loss [kPa]</v>
      </c>
      <c r="F14" s="19" t="str">
        <f>CONCATENATE("Sens. cooling capacity * ",ROUND(J8,0),"/",ROUND(J9,0),"/",ROUND(J10,0)," ["&amp;IF(cal!$X$4=1,"W",IF(cal!$X$4=2,"Btu/h"))&amp;"]")</f>
        <v>Sens. cooling capacity * 16/18/27 [W]</v>
      </c>
      <c r="G14" s="19" t="str">
        <f>CONCATENATE("Tot. cooling capacity ",ROUND(J8,0),"/",ROUND(J9,0),"/",ROUND(J10,0)," ["&amp;IF(cal!$X$4=1,"W",IF(cal!$X$4=2,"Btu/h"))&amp;"]")</f>
        <v>Tot. cooling capacity 16/18/27 [W]</v>
      </c>
      <c r="H14" s="19" t="str">
        <f>"Water flowrate, cooling ["&amp;IF(cal!$X$4=1,"l/h",IF(cal!$X$4=2,"GPM"))&amp;"]"</f>
        <v>Water flowrate, cooling [l/h]</v>
      </c>
      <c r="I14" s="20" t="str">
        <f>"Watersided pressure loss ["&amp;IF(cal!$X$4=1,"kPa",IF(cal!$X$4=2,"inH2O"))&amp;"]"</f>
        <v>Watersided pressure loss [kPa]</v>
      </c>
      <c r="J14" s="26" t="s">
        <v>27</v>
      </c>
      <c r="K14" s="31" t="s">
        <v>43</v>
      </c>
      <c r="L14" s="19" t="s">
        <v>28</v>
      </c>
      <c r="M14" s="25" t="str">
        <f>"Air flowrate ["&amp;IF(cal!$X$4=1,"m³/h",IF(cal!$X$4=2,"CFM"))&amp;"]"</f>
        <v>Air flowrate [m³/h]</v>
      </c>
      <c r="N14" s="195" t="str">
        <f>"Air exhaust temp. heating ["&amp;IF(cal!$X$4=1,"°C",IF(cal!$X$4=2,"°F"))&amp;"]"</f>
        <v>Air exhaust temp. heating [°C]</v>
      </c>
      <c r="O14" s="196" t="str">
        <f>"Air exhaust temp. cooling ["&amp;IF(cal!$X$4=1,"°C",IF(cal!$X$4=2,"°F"))&amp;"]"</f>
        <v>Air exhaust temp. cooling [°C]</v>
      </c>
    </row>
    <row r="15" spans="1:18" ht="18" customHeight="1" x14ac:dyDescent="0.35">
      <c r="A15" s="337" t="str">
        <f>cal!$Z$1&amp;"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Freedom height 20 cm width 19 cm length 74 cm (Type 1)</v>
      </c>
      <c r="B15" s="338"/>
      <c r="C15" s="337"/>
      <c r="D15" s="339"/>
      <c r="E15" s="338"/>
      <c r="F15" s="338"/>
      <c r="G15" s="338"/>
      <c r="H15" s="338"/>
      <c r="I15" s="338"/>
      <c r="J15" s="337"/>
      <c r="K15" s="338"/>
      <c r="L15" s="338"/>
      <c r="M15" s="339"/>
      <c r="Q15" s="1" t="s">
        <v>95</v>
      </c>
      <c r="R15" s="92" t="s">
        <v>132</v>
      </c>
    </row>
    <row r="16" spans="1:18" x14ac:dyDescent="0.3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98</v>
      </c>
      <c r="R16" s="92" t="s">
        <v>133</v>
      </c>
    </row>
    <row r="17" spans="1:18" x14ac:dyDescent="0.3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99</v>
      </c>
      <c r="R17" s="92" t="s">
        <v>134</v>
      </c>
    </row>
    <row r="18" spans="1:18" x14ac:dyDescent="0.3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3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3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35">
      <c r="A21" s="337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Freedom height 20 cm width 19 cm length 110 cm (Type 2)</v>
      </c>
      <c r="B21" s="338"/>
      <c r="C21" s="337"/>
      <c r="D21" s="339"/>
      <c r="E21" s="338"/>
      <c r="F21" s="338"/>
      <c r="G21" s="338"/>
      <c r="H21" s="338"/>
      <c r="I21" s="338"/>
      <c r="J21" s="337"/>
      <c r="K21" s="338"/>
      <c r="L21" s="338"/>
      <c r="M21" s="339"/>
    </row>
    <row r="22" spans="1:18" x14ac:dyDescent="0.3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3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3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3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3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35">
      <c r="A27" s="337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Freedom height 20 cm width 19 cm length 145 cm (Type 3)</v>
      </c>
      <c r="B27" s="338"/>
      <c r="C27" s="337"/>
      <c r="D27" s="339"/>
      <c r="E27" s="338"/>
      <c r="F27" s="338"/>
      <c r="G27" s="338"/>
      <c r="H27" s="338"/>
      <c r="I27" s="338"/>
      <c r="J27" s="337"/>
      <c r="K27" s="338"/>
      <c r="L27" s="338"/>
      <c r="M27" s="339"/>
    </row>
    <row r="28" spans="1:18" x14ac:dyDescent="0.3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3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3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3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3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35">
      <c r="A33" s="337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Freedom height 20 cm width 19 cm length 181 cm (Type 4)</v>
      </c>
      <c r="B33" s="338"/>
      <c r="C33" s="337"/>
      <c r="D33" s="339"/>
      <c r="E33" s="338"/>
      <c r="F33" s="338"/>
      <c r="G33" s="338"/>
      <c r="H33" s="338"/>
      <c r="I33" s="338"/>
      <c r="J33" s="337"/>
      <c r="K33" s="338"/>
      <c r="L33" s="338"/>
      <c r="M33" s="339"/>
    </row>
    <row r="34" spans="1:13" x14ac:dyDescent="0.3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3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3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3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ht="15" customHeight="1" x14ac:dyDescent="0.3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35">
      <c r="A39" s="337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Freedom height 0 cm width 0 cm length 0 cm (Type 5)</v>
      </c>
      <c r="B39" s="338"/>
      <c r="C39" s="337"/>
      <c r="D39" s="339"/>
      <c r="E39" s="338"/>
      <c r="F39" s="338"/>
      <c r="G39" s="338"/>
      <c r="H39" s="338"/>
      <c r="I39" s="338"/>
      <c r="J39" s="337"/>
      <c r="K39" s="338"/>
      <c r="L39" s="338"/>
      <c r="M39" s="339"/>
    </row>
    <row r="40" spans="1:13" ht="15" customHeight="1" x14ac:dyDescent="0.3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3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3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3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3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ht="15" customHeight="1" x14ac:dyDescent="0.35">
      <c r="A45" s="337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Freedom height 0 cm width 0 cm length 0 cm (Type 6)</v>
      </c>
      <c r="B45" s="338"/>
      <c r="C45" s="337"/>
      <c r="D45" s="339"/>
      <c r="E45" s="338"/>
      <c r="F45" s="338"/>
      <c r="G45" s="338"/>
      <c r="H45" s="338"/>
      <c r="I45" s="338"/>
      <c r="J45" s="337"/>
      <c r="K45" s="338"/>
      <c r="L45" s="338"/>
      <c r="M45" s="339"/>
    </row>
    <row r="46" spans="1:13" ht="15" customHeight="1" x14ac:dyDescent="0.3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3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3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3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3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35">
      <c r="A51" s="337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Freedom height 0 cm width 0 cm length 0 cm (Type 7)</v>
      </c>
      <c r="B51" s="338"/>
      <c r="C51" s="337"/>
      <c r="D51" s="339"/>
      <c r="E51" s="338"/>
      <c r="F51" s="338"/>
      <c r="G51" s="338"/>
      <c r="H51" s="338"/>
      <c r="I51" s="338"/>
      <c r="J51" s="337"/>
      <c r="K51" s="338"/>
      <c r="L51" s="338"/>
      <c r="M51" s="339"/>
    </row>
    <row r="52" spans="1:13" ht="15" customHeight="1" x14ac:dyDescent="0.3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3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3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3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3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35">
      <c r="A57" s="337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Freedom height 0 cm width 0 cm length 0 cm (Type 8)</v>
      </c>
      <c r="B57" s="338"/>
      <c r="C57" s="337"/>
      <c r="D57" s="339"/>
      <c r="E57" s="338"/>
      <c r="F57" s="338"/>
      <c r="G57" s="338"/>
      <c r="H57" s="338"/>
      <c r="I57" s="338"/>
      <c r="J57" s="337"/>
      <c r="K57" s="338"/>
      <c r="L57" s="338"/>
      <c r="M57" s="339"/>
    </row>
    <row r="58" spans="1:13" ht="15" customHeight="1" x14ac:dyDescent="0.3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3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3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3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3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35">
      <c r="A63" s="337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Freedom height 0 cm width 0 cm length 0 cm (Type 9)</v>
      </c>
      <c r="B63" s="338"/>
      <c r="C63" s="337"/>
      <c r="D63" s="339"/>
      <c r="E63" s="338"/>
      <c r="F63" s="338"/>
      <c r="G63" s="338"/>
      <c r="H63" s="338"/>
      <c r="I63" s="338"/>
      <c r="J63" s="337"/>
      <c r="K63" s="338"/>
      <c r="L63" s="338"/>
      <c r="M63" s="339"/>
    </row>
    <row r="64" spans="1:13" ht="15" customHeight="1" x14ac:dyDescent="0.3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3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3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3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3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5" customHeight="1" x14ac:dyDescent="0.35">
      <c r="A69" s="6" t="s">
        <v>58</v>
      </c>
      <c r="L69" s="47"/>
      <c r="M69" s="45" t="str">
        <f>cal!N70</f>
        <v>v2022-08-26</v>
      </c>
    </row>
    <row r="70" spans="1:13" ht="9.65" customHeight="1" x14ac:dyDescent="0.35">
      <c r="A70" s="6" t="s">
        <v>29</v>
      </c>
    </row>
    <row r="71" spans="1:13" ht="9.65" customHeight="1" x14ac:dyDescent="0.35">
      <c r="A71" s="6" t="s">
        <v>30</v>
      </c>
    </row>
  </sheetData>
  <sheetProtection selectLockedCells="1"/>
  <mergeCells count="19">
    <mergeCell ref="A63:M63"/>
    <mergeCell ref="A10:C10"/>
    <mergeCell ref="F10:I10"/>
    <mergeCell ref="F11:H11"/>
    <mergeCell ref="A15:M15"/>
    <mergeCell ref="A21:M21"/>
    <mergeCell ref="A27:M27"/>
    <mergeCell ref="A33:M33"/>
    <mergeCell ref="A39:M39"/>
    <mergeCell ref="A45:M45"/>
    <mergeCell ref="A51:M51"/>
    <mergeCell ref="A57:M57"/>
    <mergeCell ref="A9:C9"/>
    <mergeCell ref="F9:I9"/>
    <mergeCell ref="L6:M6"/>
    <mergeCell ref="L7:M7"/>
    <mergeCell ref="A8:C8"/>
    <mergeCell ref="F8:I8"/>
    <mergeCell ref="L8:M8"/>
  </mergeCells>
  <dataValidations count="7">
    <dataValidation type="whole" errorStyle="information" allowBlank="1" showErrorMessage="1" error="Eingabe außerhalb des gültigen Bereichs." prompt="20°C bis 35°C" sqref="J10" xr:uid="{00000000-0002-0000-0B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B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B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B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B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B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B00-000006000000}">
      <formula1>0.01</formula1>
      <formula2>1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3"/>
  <dimension ref="A1:R71"/>
  <sheetViews>
    <sheetView topLeftCell="I1" workbookViewId="0">
      <selection activeCell="G6" sqref="G6:J6"/>
    </sheetView>
  </sheetViews>
  <sheetFormatPr defaultColWidth="11.453125" defaultRowHeight="14.5" x14ac:dyDescent="0.35"/>
  <cols>
    <col min="1" max="1" width="7" style="1" customWidth="1"/>
    <col min="2" max="2" width="6.1796875" style="1" customWidth="1"/>
    <col min="3" max="3" width="7" style="1" customWidth="1"/>
    <col min="4" max="4" width="6.7265625" style="1" customWidth="1"/>
    <col min="5" max="15" width="7" style="1" customWidth="1"/>
    <col min="16" max="16384" width="11.453125" style="1"/>
  </cols>
  <sheetData>
    <row r="1" spans="1:18" x14ac:dyDescent="0.35">
      <c r="A1" s="21"/>
    </row>
    <row r="2" spans="1:18" x14ac:dyDescent="0.35">
      <c r="A2" s="23" t="s">
        <v>33</v>
      </c>
      <c r="B2" s="22"/>
    </row>
    <row r="3" spans="1:18" x14ac:dyDescent="0.35">
      <c r="A3" s="21"/>
    </row>
    <row r="4" spans="1:18" x14ac:dyDescent="0.35">
      <c r="A4" s="28" t="s">
        <v>31</v>
      </c>
    </row>
    <row r="5" spans="1:18" ht="6" customHeight="1" thickBot="1" x14ac:dyDescent="0.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" thickBot="1" x14ac:dyDescent="0.4">
      <c r="A6" s="12" t="s">
        <v>22</v>
      </c>
      <c r="B6" s="7"/>
      <c r="C6" s="7"/>
      <c r="D6" s="7"/>
      <c r="E6" s="7"/>
      <c r="F6" s="7"/>
      <c r="G6" s="7"/>
      <c r="H6" s="7"/>
      <c r="I6" s="7"/>
      <c r="J6" s="7"/>
      <c r="K6" s="7"/>
      <c r="L6" s="365" t="s">
        <v>139</v>
      </c>
      <c r="M6" s="366"/>
    </row>
    <row r="7" spans="1:18" ht="15" thickBot="1" x14ac:dyDescent="0.4">
      <c r="A7" s="12" t="s">
        <v>23</v>
      </c>
      <c r="B7" s="7"/>
      <c r="C7" s="7"/>
      <c r="D7" s="7"/>
      <c r="E7" s="7"/>
      <c r="F7" s="8" t="s">
        <v>24</v>
      </c>
      <c r="G7" s="8"/>
      <c r="H7" s="8"/>
      <c r="I7" s="7"/>
      <c r="J7" s="7"/>
      <c r="K7" s="7"/>
      <c r="L7" s="367"/>
      <c r="M7" s="368"/>
      <c r="Q7" s="1" t="s">
        <v>165</v>
      </c>
    </row>
    <row r="8" spans="1:18" ht="15" thickBot="1" x14ac:dyDescent="0.4">
      <c r="A8" s="361" t="str">
        <f>"Inlet temp."</f>
        <v>Inlet temp.</v>
      </c>
      <c r="B8" s="362"/>
      <c r="C8" s="362"/>
      <c r="D8" s="62">
        <f>cal!E9</f>
        <v>75</v>
      </c>
      <c r="E8" s="48" t="str">
        <f>IF(cal!$X$4=1,"°C",IF(cal!$X$4=2,"°F"))</f>
        <v>°C</v>
      </c>
      <c r="F8" s="362" t="str">
        <f>A8</f>
        <v>Inlet temp.</v>
      </c>
      <c r="G8" s="362"/>
      <c r="H8" s="362"/>
      <c r="I8" s="362"/>
      <c r="J8" s="62">
        <f>cal!K9</f>
        <v>16</v>
      </c>
      <c r="K8" s="7" t="str">
        <f>E8</f>
        <v>°C</v>
      </c>
      <c r="L8" s="363" t="s">
        <v>108</v>
      </c>
      <c r="M8" s="364"/>
      <c r="Q8" s="1" t="s">
        <v>166</v>
      </c>
    </row>
    <row r="9" spans="1:18" ht="15" thickTop="1" x14ac:dyDescent="0.35">
      <c r="A9" s="361" t="str">
        <f>"Return temp."</f>
        <v>Return temp.</v>
      </c>
      <c r="B9" s="362"/>
      <c r="C9" s="362"/>
      <c r="D9" s="62">
        <f>cal!E10</f>
        <v>65</v>
      </c>
      <c r="E9" s="48" t="str">
        <f>E8</f>
        <v>°C</v>
      </c>
      <c r="F9" s="362" t="str">
        <f>A9</f>
        <v>Return temp.</v>
      </c>
      <c r="G9" s="362"/>
      <c r="H9" s="362"/>
      <c r="I9" s="362"/>
      <c r="J9" s="62">
        <f>cal!K10</f>
        <v>18</v>
      </c>
      <c r="K9" s="7" t="str">
        <f>E8</f>
        <v>°C</v>
      </c>
      <c r="L9" s="7"/>
      <c r="M9" s="13"/>
      <c r="Q9" s="1" t="s">
        <v>167</v>
      </c>
    </row>
    <row r="10" spans="1:18" x14ac:dyDescent="0.35">
      <c r="A10" s="361" t="str">
        <f>"Room temp."</f>
        <v>Room temp.</v>
      </c>
      <c r="B10" s="362"/>
      <c r="C10" s="362"/>
      <c r="D10" s="62">
        <f>cal!E11</f>
        <v>20</v>
      </c>
      <c r="E10" s="48" t="str">
        <f>E8</f>
        <v>°C</v>
      </c>
      <c r="F10" s="362" t="str">
        <f>A10</f>
        <v>Room temp.</v>
      </c>
      <c r="G10" s="362"/>
      <c r="H10" s="362"/>
      <c r="I10" s="362"/>
      <c r="J10" s="62">
        <f>cal!K11</f>
        <v>27</v>
      </c>
      <c r="K10" s="7" t="str">
        <f>E8</f>
        <v>°C</v>
      </c>
      <c r="L10" s="7"/>
      <c r="M10" s="13"/>
    </row>
    <row r="11" spans="1:18" x14ac:dyDescent="0.35">
      <c r="A11" s="14"/>
      <c r="B11" s="7"/>
      <c r="C11" s="7"/>
      <c r="D11" s="7"/>
      <c r="E11" s="7"/>
      <c r="F11" s="362" t="s">
        <v>147</v>
      </c>
      <c r="G11" s="362"/>
      <c r="H11" s="362"/>
      <c r="I11" s="7"/>
      <c r="J11" s="50">
        <f>cal!K12</f>
        <v>0.5</v>
      </c>
      <c r="K11" s="7"/>
      <c r="L11" s="7"/>
      <c r="M11" s="13"/>
    </row>
    <row r="12" spans="1:18" ht="6" customHeight="1" x14ac:dyDescent="0.3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3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35">
      <c r="A14" s="26" t="s">
        <v>25</v>
      </c>
      <c r="B14" s="19" t="s">
        <v>26</v>
      </c>
      <c r="C14" s="26" t="str">
        <f>CONCATENATE("Heat output * ",ROUND(D8,0),"/",ROUND(D9,0),"/",ROUND(D10,0)," ["&amp;IF(cal!$X$4=1,"W",IF(cal!$X$4=2,"Btu/h"))&amp;"]")</f>
        <v>Heat output * 75/65/20 [W]</v>
      </c>
      <c r="D14" s="29" t="str">
        <f>"Water flowrate, heating ["&amp;IF(cal!$X$4=1,"l/h",IF(cal!$X$4=2,"GPM"))&amp;"]"</f>
        <v>Water flowrate, heating [l/h]</v>
      </c>
      <c r="E14" s="32" t="str">
        <f>"Watersided pressure loss ["&amp;IF(cal!$X$4=1,"kPa",IF(cal!$X$4=2,"inH2O"))&amp;"]"</f>
        <v>Watersided pressure loss [kPa]</v>
      </c>
      <c r="F14" s="19" t="str">
        <f>CONCATENATE("Sens. cooling capacity * ",ROUND(J8,0),"/",ROUND(J9,0),"/",ROUND(J10,0)," ["&amp;IF(cal!$X$4=1,"W",IF(cal!$X$4=2,"Btu/h"))&amp;"]")</f>
        <v>Sens. cooling capacity * 16/18/27 [W]</v>
      </c>
      <c r="G14" s="19" t="str">
        <f>CONCATENATE("Tot. cooling capacity ",ROUND(J8,0),"/",ROUND(J9,0),"/",ROUND(J10,0)," ["&amp;IF(cal!$X$4=1,"W",IF(cal!$X$4=2,"Btu/h"))&amp;"]")</f>
        <v>Tot. cooling capacity 16/18/27 [W]</v>
      </c>
      <c r="H14" s="19" t="str">
        <f>"Water flowrate, cooling ["&amp;IF(cal!$X$4=1,"l/h",IF(cal!$X$4=2,"GPM"))&amp;"]"</f>
        <v>Water flowrate, cooling [l/h]</v>
      </c>
      <c r="I14" s="20" t="str">
        <f>"Watersided pressure loss ["&amp;IF(cal!$X$4=1,"kPa",IF(cal!$X$4=2,"inH2O"))&amp;"]"</f>
        <v>Watersided pressure loss [kPa]</v>
      </c>
      <c r="J14" s="26" t="s">
        <v>27</v>
      </c>
      <c r="K14" s="31" t="s">
        <v>43</v>
      </c>
      <c r="L14" s="19" t="s">
        <v>28</v>
      </c>
      <c r="M14" s="25" t="str">
        <f>"Air flowrate ["&amp;IF(cal!$X$4=1,"m³/h",IF(cal!$X$4=2,"CFM"))&amp;"]"</f>
        <v>Air flowrate [m³/h]</v>
      </c>
      <c r="N14" s="195" t="str">
        <f>"Air exhaust temp. heating ["&amp;IF(cal!$X$4=1,"°C",IF(cal!$X$4=2,"°F"))&amp;"]"</f>
        <v>Air exhaust temp. heating [°C]</v>
      </c>
      <c r="O14" s="196" t="str">
        <f>"Air exhaust temp. cooling ["&amp;IF(cal!$X$4=1,"°C",IF(cal!$X$4=2,"°F"))&amp;"]"</f>
        <v>Air exhaust temp. cooling [°C]</v>
      </c>
    </row>
    <row r="15" spans="1:18" ht="18" customHeight="1" x14ac:dyDescent="0.35">
      <c r="A15" s="337" t="str">
        <f>cal!$Z$1&amp;"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Freedom height 20 cm width 19 cm length 74 cm (Type 1)</v>
      </c>
      <c r="B15" s="338"/>
      <c r="C15" s="337"/>
      <c r="D15" s="339"/>
      <c r="E15" s="338"/>
      <c r="F15" s="338"/>
      <c r="G15" s="338"/>
      <c r="H15" s="338"/>
      <c r="I15" s="338"/>
      <c r="J15" s="337"/>
      <c r="K15" s="338"/>
      <c r="L15" s="338"/>
      <c r="M15" s="339"/>
      <c r="Q15" s="1" t="s">
        <v>95</v>
      </c>
      <c r="R15" s="92" t="s">
        <v>132</v>
      </c>
    </row>
    <row r="16" spans="1:18" x14ac:dyDescent="0.3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98</v>
      </c>
      <c r="R16" s="92" t="s">
        <v>133</v>
      </c>
    </row>
    <row r="17" spans="1:18" x14ac:dyDescent="0.3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99</v>
      </c>
      <c r="R17" s="92" t="s">
        <v>134</v>
      </c>
    </row>
    <row r="18" spans="1:18" x14ac:dyDescent="0.3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3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3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35">
      <c r="A21" s="337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Freedom height 20 cm width 19 cm length 110 cm (Type 2)</v>
      </c>
      <c r="B21" s="338"/>
      <c r="C21" s="337"/>
      <c r="D21" s="339"/>
      <c r="E21" s="338"/>
      <c r="F21" s="338"/>
      <c r="G21" s="338"/>
      <c r="H21" s="338"/>
      <c r="I21" s="338"/>
      <c r="J21" s="337"/>
      <c r="K21" s="338"/>
      <c r="L21" s="338"/>
      <c r="M21" s="339"/>
    </row>
    <row r="22" spans="1:18" x14ac:dyDescent="0.3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3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3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3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3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35">
      <c r="A27" s="337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Freedom height 20 cm width 19 cm length 145 cm (Type 3)</v>
      </c>
      <c r="B27" s="338"/>
      <c r="C27" s="337"/>
      <c r="D27" s="339"/>
      <c r="E27" s="338"/>
      <c r="F27" s="338"/>
      <c r="G27" s="338"/>
      <c r="H27" s="338"/>
      <c r="I27" s="338"/>
      <c r="J27" s="337"/>
      <c r="K27" s="338"/>
      <c r="L27" s="338"/>
      <c r="M27" s="339"/>
    </row>
    <row r="28" spans="1:18" x14ac:dyDescent="0.3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3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3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3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3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35">
      <c r="A33" s="337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Freedom height 20 cm width 19 cm length 181 cm (Type 4)</v>
      </c>
      <c r="B33" s="338"/>
      <c r="C33" s="337"/>
      <c r="D33" s="339"/>
      <c r="E33" s="338"/>
      <c r="F33" s="338"/>
      <c r="G33" s="338"/>
      <c r="H33" s="338"/>
      <c r="I33" s="338"/>
      <c r="J33" s="337"/>
      <c r="K33" s="338"/>
      <c r="L33" s="338"/>
      <c r="M33" s="339"/>
    </row>
    <row r="34" spans="1:13" x14ac:dyDescent="0.3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3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3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3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ht="15" customHeight="1" x14ac:dyDescent="0.3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35">
      <c r="A39" s="337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Freedom height 0 cm width 0 cm length 0 cm (Type 5)</v>
      </c>
      <c r="B39" s="338"/>
      <c r="C39" s="337"/>
      <c r="D39" s="339"/>
      <c r="E39" s="338"/>
      <c r="F39" s="338"/>
      <c r="G39" s="338"/>
      <c r="H39" s="338"/>
      <c r="I39" s="338"/>
      <c r="J39" s="337"/>
      <c r="K39" s="338"/>
      <c r="L39" s="338"/>
      <c r="M39" s="339"/>
    </row>
    <row r="40" spans="1:13" ht="15" customHeight="1" x14ac:dyDescent="0.3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3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3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3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3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ht="15" customHeight="1" x14ac:dyDescent="0.35">
      <c r="A45" s="337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Freedom height 0 cm width 0 cm length 0 cm (Type 6)</v>
      </c>
      <c r="B45" s="338"/>
      <c r="C45" s="337"/>
      <c r="D45" s="339"/>
      <c r="E45" s="338"/>
      <c r="F45" s="338"/>
      <c r="G45" s="338"/>
      <c r="H45" s="338"/>
      <c r="I45" s="338"/>
      <c r="J45" s="337"/>
      <c r="K45" s="338"/>
      <c r="L45" s="338"/>
      <c r="M45" s="339"/>
    </row>
    <row r="46" spans="1:13" ht="15" customHeight="1" x14ac:dyDescent="0.3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3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3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3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3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35">
      <c r="A51" s="337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Freedom height 0 cm width 0 cm length 0 cm (Type 7)</v>
      </c>
      <c r="B51" s="338"/>
      <c r="C51" s="337"/>
      <c r="D51" s="339"/>
      <c r="E51" s="338"/>
      <c r="F51" s="338"/>
      <c r="G51" s="338"/>
      <c r="H51" s="338"/>
      <c r="I51" s="338"/>
      <c r="J51" s="337"/>
      <c r="K51" s="338"/>
      <c r="L51" s="338"/>
      <c r="M51" s="339"/>
    </row>
    <row r="52" spans="1:13" ht="15" customHeight="1" x14ac:dyDescent="0.3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3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3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3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3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35">
      <c r="A57" s="337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Freedom height 0 cm width 0 cm length 0 cm (Type 8)</v>
      </c>
      <c r="B57" s="338"/>
      <c r="C57" s="337"/>
      <c r="D57" s="339"/>
      <c r="E57" s="338"/>
      <c r="F57" s="338"/>
      <c r="G57" s="338"/>
      <c r="H57" s="338"/>
      <c r="I57" s="338"/>
      <c r="J57" s="337"/>
      <c r="K57" s="338"/>
      <c r="L57" s="338"/>
      <c r="M57" s="339"/>
    </row>
    <row r="58" spans="1:13" ht="15" customHeight="1" x14ac:dyDescent="0.3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3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3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3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3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35">
      <c r="A63" s="337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Freedom height 0 cm width 0 cm length 0 cm (Type 9)</v>
      </c>
      <c r="B63" s="338"/>
      <c r="C63" s="337"/>
      <c r="D63" s="339"/>
      <c r="E63" s="338"/>
      <c r="F63" s="338"/>
      <c r="G63" s="338"/>
      <c r="H63" s="338"/>
      <c r="I63" s="338"/>
      <c r="J63" s="337"/>
      <c r="K63" s="338"/>
      <c r="L63" s="338"/>
      <c r="M63" s="339"/>
    </row>
    <row r="64" spans="1:13" ht="15" customHeight="1" x14ac:dyDescent="0.3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3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3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3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3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5" customHeight="1" x14ac:dyDescent="0.35">
      <c r="A69" s="6" t="s">
        <v>58</v>
      </c>
      <c r="L69" s="47"/>
      <c r="M69" s="45" t="str">
        <f>cal!N70</f>
        <v>v2022-08-26</v>
      </c>
    </row>
    <row r="70" spans="1:13" ht="9.65" customHeight="1" x14ac:dyDescent="0.35">
      <c r="A70" s="6" t="s">
        <v>29</v>
      </c>
    </row>
    <row r="71" spans="1:13" ht="9.65" customHeight="1" x14ac:dyDescent="0.35">
      <c r="A71" s="6" t="s">
        <v>30</v>
      </c>
    </row>
  </sheetData>
  <sheetProtection selectLockedCells="1"/>
  <mergeCells count="19">
    <mergeCell ref="A63:M63"/>
    <mergeCell ref="A10:C10"/>
    <mergeCell ref="F10:I10"/>
    <mergeCell ref="F11:H11"/>
    <mergeCell ref="A15:M15"/>
    <mergeCell ref="A21:M21"/>
    <mergeCell ref="A27:M27"/>
    <mergeCell ref="A33:M33"/>
    <mergeCell ref="A39:M39"/>
    <mergeCell ref="A45:M45"/>
    <mergeCell ref="A51:M51"/>
    <mergeCell ref="A57:M57"/>
    <mergeCell ref="A9:C9"/>
    <mergeCell ref="F9:I9"/>
    <mergeCell ref="L6:M6"/>
    <mergeCell ref="L7:M7"/>
    <mergeCell ref="A8:C8"/>
    <mergeCell ref="F8:I8"/>
    <mergeCell ref="L8:M8"/>
  </mergeCells>
  <dataValidations count="7">
    <dataValidation type="decimal" errorStyle="information" allowBlank="1" showErrorMessage="1" error="Eingabe außerhalb des gültigen Bereichs." prompt="20°C bis 35°C" sqref="J11" xr:uid="{00000000-0002-0000-0C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J8" xr:uid="{00000000-0002-0000-0C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J9" xr:uid="{00000000-0002-0000-0C00-000002000000}">
      <formula1>J8</formula1>
      <formula2>J10</formula2>
    </dataValidation>
    <dataValidation type="whole" errorStyle="information" allowBlank="1" showErrorMessage="1" error="Temperatur außerhalb des gütligen Bereichs." prompt="Eingabe zwischen 30°C bis 95°C" sqref="D8" xr:uid="{00000000-0002-0000-0C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D9" xr:uid="{00000000-0002-0000-0C00-000004000000}">
      <formula1>D10</formula1>
      <formula2>D8</formula2>
    </dataValidation>
    <dataValidation type="whole" errorStyle="information" allowBlank="1" showErrorMessage="1" error="Eingabe außerhalb des gültigen Bereichs." prompt="Eingabe zwischen 16°C bis 30°C" sqref="D10" xr:uid="{00000000-0002-0000-0C00-000005000000}">
      <formula1>16</formula1>
      <formula2>30</formula2>
    </dataValidation>
    <dataValidation type="whole" errorStyle="information" allowBlank="1" showErrorMessage="1" error="Eingabe außerhalb des gültigen Bereichs." prompt="20°C bis 35°C" sqref="J10" xr:uid="{00000000-0002-0000-0C00-000006000000}">
      <formula1>20</formula1>
      <formula2>35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B1:CG80"/>
  <sheetViews>
    <sheetView zoomScaleNormal="100" workbookViewId="0">
      <selection activeCell="V5" sqref="V5"/>
    </sheetView>
  </sheetViews>
  <sheetFormatPr defaultColWidth="0.1796875" defaultRowHeight="0" customHeight="1" zeroHeight="1" x14ac:dyDescent="0.35"/>
  <cols>
    <col min="1" max="1" width="2" style="49" customWidth="1"/>
    <col min="2" max="2" width="7" style="49" customWidth="1"/>
    <col min="3" max="3" width="6.1796875" style="49" customWidth="1"/>
    <col min="4" max="4" width="7.26953125" style="49" customWidth="1"/>
    <col min="5" max="5" width="7.1796875" style="49" customWidth="1"/>
    <col min="6" max="6" width="7.54296875" style="49" customWidth="1"/>
    <col min="7" max="7" width="9.453125" style="49" customWidth="1"/>
    <col min="8" max="8" width="8.54296875" style="49" customWidth="1"/>
    <col min="9" max="9" width="7.7265625" style="49" customWidth="1"/>
    <col min="10" max="10" width="7" style="49" customWidth="1"/>
    <col min="11" max="11" width="7.81640625" style="49" customWidth="1"/>
    <col min="12" max="12" width="8.1796875" style="49" customWidth="1"/>
    <col min="13" max="13" width="7.7265625" style="49" customWidth="1"/>
    <col min="14" max="16" width="7" style="49" customWidth="1"/>
    <col min="17" max="18" width="7.7265625" style="49" customWidth="1"/>
    <col min="19" max="20" width="8.453125" style="49" customWidth="1"/>
    <col min="21" max="23" width="7.7265625" style="49" customWidth="1"/>
    <col min="24" max="30" width="5.7265625" style="49" customWidth="1"/>
    <col min="31" max="31" width="5.26953125" style="49" customWidth="1"/>
    <col min="32" max="32" width="3.453125" style="49" customWidth="1"/>
    <col min="33" max="33" width="6.7265625" style="49" customWidth="1"/>
    <col min="34" max="45" width="3.453125" style="49" customWidth="1"/>
    <col min="46" max="49" width="2.26953125" style="49" customWidth="1"/>
    <col min="50" max="85" width="3.453125" style="49" customWidth="1"/>
    <col min="86" max="95" width="0.1796875" style="49" customWidth="1"/>
    <col min="96" max="16384" width="0.1796875" style="49"/>
  </cols>
  <sheetData>
    <row r="1" spans="2:85" ht="15" customHeight="1" x14ac:dyDescent="0.35">
      <c r="G1" s="49" t="s">
        <v>82</v>
      </c>
      <c r="H1" s="49" t="s">
        <v>81</v>
      </c>
      <c r="I1" s="49" t="s">
        <v>80</v>
      </c>
      <c r="J1" s="49" t="s">
        <v>79</v>
      </c>
      <c r="K1" s="49" t="s">
        <v>78</v>
      </c>
      <c r="L1" s="49" t="s">
        <v>145</v>
      </c>
      <c r="M1" s="49" t="s">
        <v>216</v>
      </c>
      <c r="N1" s="49" t="s">
        <v>217</v>
      </c>
      <c r="O1" s="49" t="s">
        <v>218</v>
      </c>
      <c r="P1" s="49" t="s">
        <v>219</v>
      </c>
      <c r="Q1" s="49" t="s">
        <v>220</v>
      </c>
      <c r="U1" s="49" t="str">
        <f>IF($S$7=1,NL!Q7,IF($S$7=2,EN!Q7,IF($S$7=3,DE!Q7,IF($S$7=4,FR!Q7,IF($S$7=5,NR!Q7,IF($S$7=6,SP!Q7,IF($S$7=7,SW!Q7,IF($S$7=8,TS!Q7,IF($S$7=9,ExtraTaal1!Q7,IF($S$7=10,ExtraTaal2!Q7,IF($S$7=11,ExtraTaal3!Q7,)))))))))))</f>
        <v>Copy all data</v>
      </c>
      <c r="Y1" s="174"/>
      <c r="Z1" s="174" t="s">
        <v>233</v>
      </c>
      <c r="AA1" s="174"/>
      <c r="AB1" s="174"/>
    </row>
    <row r="2" spans="2:85" ht="15" customHeight="1" x14ac:dyDescent="0.35">
      <c r="B2" s="2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U2" s="49" t="str">
        <f>IF($S$7=1,NL!Q8,IF($S$7=2,EN!Q8,IF($S$7=3,DE!Q8,IF($S$7=4,FR!Q8,IF($S$7=5,NR!Q8,IF($S$7=6,SP!Q8,IF($S$7=7,SW!Q8,IF($S$7=8,TS!Q8,IF($S$7=9,ExtraTaal1!Q8,IF($S$7=10,ExtraTaal2!Q8,IF($S$7=11,ExtraTaal3!Q8,)))))))))))</f>
        <v>SI-units</v>
      </c>
      <c r="X2" s="55"/>
      <c r="Y2" s="175" t="s">
        <v>233</v>
      </c>
      <c r="Z2" s="174" t="str">
        <f>AE16</f>
        <v>Freedom</v>
      </c>
      <c r="AA2" s="174"/>
      <c r="AB2" s="174"/>
    </row>
    <row r="3" spans="2:85" ht="14.5" x14ac:dyDescent="0.35">
      <c r="B3" s="23" t="str">
        <f>IF($S$7=1,NL!A2,IF(cal!$S$7=2,EN!A2,IF(cal!$S$7=3,DE!A2,IF(cal!$S$7=4,FR!A2,))))</f>
        <v>Formulary</v>
      </c>
      <c r="C3" s="22"/>
      <c r="D3" s="1"/>
      <c r="E3" s="1"/>
      <c r="F3" s="1"/>
      <c r="G3" s="88"/>
      <c r="H3" s="88"/>
      <c r="I3" s="88"/>
      <c r="J3" s="88"/>
      <c r="K3" s="1"/>
      <c r="L3" s="1"/>
      <c r="M3" s="1"/>
      <c r="N3" s="1"/>
      <c r="O3" s="1"/>
      <c r="P3" s="1"/>
      <c r="Q3" s="1"/>
      <c r="U3" s="49" t="str">
        <f>IF($S$7=1,NL!Q9,IF($S$7=2,EN!Q9,IF($S$7=3,DE!Q9,IF($S$7=4,FR!Q9,IF($S$7=5,NR!Q9,IF($S$7=6,SP!Q9,IF($S$7=7,SW!Q9,IF($S$7=8,TS!Q9,IF($S$7=9,ExtraTaal1!Q9,IF($S$7=10,ExtraTaal2!Q9,IF($S$7=11,ExtraTaal3!Q9,)))))))))))</f>
        <v>Imperial-units</v>
      </c>
      <c r="X3" s="55"/>
      <c r="Y3" s="175" t="s">
        <v>71</v>
      </c>
      <c r="Z3" s="174">
        <f>AM16</f>
        <v>0</v>
      </c>
      <c r="AA3" s="174"/>
      <c r="AB3" s="174"/>
      <c r="AC3" s="1" t="str">
        <f>IF($S$7=1,NL!Q15,IF(cal!$S$7=2,EN!Q15,IF(cal!$S$7=3,DE!Q15,IF(cal!$S$7=4,FR!Q15,IF(cal!$S$7=5,NR!Q15,IF(cal!$S$7=6,SP!Q15,))))))</f>
        <v>Temp.</v>
      </c>
    </row>
    <row r="4" spans="2:85" ht="14.5" x14ac:dyDescent="0.35">
      <c r="B4" s="2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X4" s="66">
        <v>1</v>
      </c>
      <c r="Y4" s="175" t="s">
        <v>106</v>
      </c>
      <c r="Z4" s="174">
        <f>AX16</f>
        <v>0</v>
      </c>
      <c r="AA4" s="174"/>
      <c r="AB4" s="174"/>
      <c r="AC4" s="1" t="str">
        <f>IF($S$7=1,NL!Q16,IF(cal!$S$7=2,EN!Q16,IF(cal!$S$7=3,DE!Q16,IF(cal!$S$7=4,FR!Q16,IF(cal!$S$7=5,NR!Q16,IF(cal!$S$7=6,SP!Q16,))))))</f>
        <v>heating!</v>
      </c>
    </row>
    <row r="5" spans="2:85" ht="14.5" x14ac:dyDescent="0.35">
      <c r="B5" s="28" t="str">
        <f>IF($S$7=1,NL!A4,IF(cal!$S$7=2,EN!A4,IF(cal!$S$7=3,DE!A4,IF(cal!$S$7=4,FR!A4,))))</f>
        <v>Conditions</v>
      </c>
      <c r="C5" s="1"/>
      <c r="D5" s="1"/>
      <c r="E5" s="1"/>
      <c r="F5" s="1"/>
      <c r="G5" s="88"/>
      <c r="H5" s="88"/>
      <c r="I5" s="88"/>
      <c r="J5" s="88"/>
      <c r="K5" s="1"/>
      <c r="L5" s="1"/>
      <c r="M5" s="1"/>
      <c r="N5" s="1"/>
      <c r="O5" s="1"/>
      <c r="P5" s="1"/>
      <c r="Q5" s="1"/>
      <c r="X5" s="55"/>
      <c r="Y5" s="175" t="s">
        <v>72</v>
      </c>
      <c r="Z5" s="174">
        <f>BL16</f>
        <v>0</v>
      </c>
      <c r="AA5" s="174"/>
      <c r="AB5" s="174"/>
      <c r="AC5" s="1" t="str">
        <f>IF($S$7=1,NL!Q17,IF(cal!$S$7=2,EN!Q17,IF(cal!$S$7=3,DE!Q17,IF(cal!$S$7=4,FR!Q17,IF(cal!$S$7=5,NR!Q17,IF(cal!$S$7=6,SP!Q17,))))))</f>
        <v>cooling!</v>
      </c>
    </row>
    <row r="6" spans="2:85" ht="6" customHeight="1" thickBot="1" x14ac:dyDescent="0.4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"/>
      <c r="X6" s="55"/>
      <c r="Y6" s="175" t="s">
        <v>73</v>
      </c>
      <c r="Z6" s="174">
        <f>BE16</f>
        <v>0</v>
      </c>
      <c r="AA6" s="174"/>
      <c r="AB6" s="174"/>
    </row>
    <row r="7" spans="2:85" ht="15" thickBot="1" x14ac:dyDescent="0.4">
      <c r="B7" s="12" t="str">
        <f>IF($S$7=1,NL!A6,IF(cal!$S$7=2,EN!A6,IF(cal!$S$7=3,DE!A6,IF(cal!$S$7=4,FR!A6,IF(cal!$S$7=5,NR!A6,IF(cal!$S$7=6,SP!A6,IF(cal!$S$7=7,SW!A6,IF(cal!$S$7=8,TS!A6,IF(cal!$S$7=9,ExtraTaal1!A6,IF(cal!$S$7=10,ExtraTaal2!A6,IF(cal!$S$7=11,ExtraTaal3!A6,)))))))))))</f>
        <v>Temperatures</v>
      </c>
      <c r="C7" s="7"/>
      <c r="D7" s="7"/>
      <c r="E7" s="7"/>
      <c r="F7" s="7"/>
      <c r="G7" s="7"/>
      <c r="H7" s="7"/>
      <c r="I7" s="7"/>
      <c r="J7" s="7"/>
      <c r="K7" s="7"/>
      <c r="L7" s="7"/>
      <c r="M7" s="340" t="str">
        <f>IF($S$7=1,NL!L6,IF(cal!$S$7=2,EN!L6,IF(cal!$S$7=3,DE!L6,IF(cal!$S$7=4,FR!L6,IF(cal!$S$7=5,NR!L6,IF(cal!$S$7=6,SP!L6,IF(cal!$S$7=7,SW!L6,IF(cal!$S$7=8,TS!L6,IF(cal!$S$7=9,ExtraTaal1!L6,IF(cal!$S$7=10,ExtraTaal2!L6,IF(cal!$S$7=11,ExtraTaal3!L6,)))))))))))</f>
        <v>Altitude</v>
      </c>
      <c r="N7" s="341">
        <f>IF($S$7=1,NL!M6,IF(cal!$S$7=2,EN!M6,IF(cal!$S$7=3,DE!M6,IF(cal!$S$7=4,FR!M6,IF(cal!$S$7=5,NR!M6,IF(cal!$S$7=6,SP!M6,IF(cal!$S$7=7,SW!M6,IF(cal!$S$7=8,TS!M6,IF(cal!$S$7=9,ExtraTaal1!M6,IF(cal!$S$7=10,ExtraTaal2!M6,IF(cal!$S$7=11,ExtraTaal3!M6,)))))))))))</f>
        <v>0</v>
      </c>
      <c r="O7" s="353"/>
      <c r="P7" s="354"/>
      <c r="Q7" s="1"/>
      <c r="S7" s="197">
        <f>IF(Freedom!$K$4=cal!G1,1,IF(Freedom!$K$4=cal!H1,2,IF(Freedom!$K$4=cal!I1,3,IF(Freedom!$K$4=cal!J1,4,IF(Freedom!$K$4=cal!K1,5,IF(Freedom!$K$4=cal!L1,6,IF(Freedom!$K$4=cal!M1,7,IF(Freedom!$K$4=cal!N1,8,IF(Freedom!$K$4=cal!O1,9,IF(Freedom!$K$4=cal!P1,10,IF(Freedom!$K$4=cal!Q1,11,)))))))))))</f>
        <v>2</v>
      </c>
      <c r="X7" s="55"/>
      <c r="Y7" s="175" t="s">
        <v>74</v>
      </c>
      <c r="Z7" s="174">
        <f>CA16</f>
        <v>0</v>
      </c>
      <c r="AA7" s="174"/>
      <c r="AB7" s="174"/>
    </row>
    <row r="8" spans="2:85" ht="15" thickBot="1" x14ac:dyDescent="0.4">
      <c r="B8" s="12" t="str">
        <f>IF($S$7=1,NL!A7,IF(cal!$S$7=2,EN!A7,IF(cal!$S$7=3,DE!A7,IF(cal!$S$7=4,FR!A7,IF(cal!$S$7=5,NR!A7,IF(cal!$S$7=6,SP!A7,IF(cal!$S$7=7,SW!A7,IF(cal!$S$7=8,TS!A7,IF(cal!$S$7=9,ExtraTaal1!A7,IF(cal!$S$7=10,ExtraTaal2!A7,IF(cal!$S$7=11,ExtraTaal3!A7,)))))))))))</f>
        <v>Heating:</v>
      </c>
      <c r="C8" s="7"/>
      <c r="D8" s="7"/>
      <c r="E8" s="7"/>
      <c r="F8" s="7"/>
      <c r="G8" s="8" t="str">
        <f>IF($S$7=1,NL!F7,IF(cal!$S$7=2,EN!F7,IF(cal!$S$7=3,DE!F7,IF(cal!$S$7=4,FR!F7,IF(cal!$S$7=5,NR!F7,IF(cal!$S$7=6,SP!F7,IF(cal!$S$7=7,SW!F7,IF(cal!$S$7=8,TS!F7,IF(cal!$S$7=9,ExtraTaal1!F7,IF(cal!$S$7=10,ExtraTaal2!F7,IF(cal!$S$7=11,ExtraTaal3!F7,)))))))))))</f>
        <v>Cooling:</v>
      </c>
      <c r="H8" s="8"/>
      <c r="I8" s="8"/>
      <c r="J8" s="7"/>
      <c r="K8" s="7"/>
      <c r="L8" s="7"/>
      <c r="M8" s="342">
        <f>Freedom!M9:N9</f>
        <v>0</v>
      </c>
      <c r="N8" s="343">
        <v>0</v>
      </c>
      <c r="O8" s="355" t="str">
        <f>IF($X$4=1,"m",IF($X$4=2,"ft"))</f>
        <v>m</v>
      </c>
      <c r="P8" s="356"/>
      <c r="Q8" s="1"/>
      <c r="S8" s="52" t="s">
        <v>51</v>
      </c>
      <c r="X8" s="52" t="s">
        <v>51</v>
      </c>
      <c r="Y8" s="175" t="s">
        <v>75</v>
      </c>
      <c r="Z8" s="174">
        <f>BT16</f>
        <v>0</v>
      </c>
      <c r="AA8" s="174"/>
      <c r="AB8" s="174"/>
    </row>
    <row r="9" spans="2:85" ht="15" thickBot="1" x14ac:dyDescent="0.4">
      <c r="B9" s="361" t="str">
        <f>IF($S$7=1,NL!A8,IF(cal!$S$7=2,EN!A8,IF(cal!$S$7=3,DE!A8,IF(cal!$S$7=4,FR!A8,IF(cal!$S$7=5,NR!A8,IF(cal!$S$7=6,SP!A8,IF(cal!$S$7=7,SW!A8,IF(cal!$S$7=8,TS!A8,IF(cal!$S$7=9,ExtraTaal1!A8,IF(cal!$S$7=10,ExtraTaal2!A8,IF(cal!$S$7=11,ExtraTaal3!A8,)))))))))))</f>
        <v>Inlet temp.</v>
      </c>
      <c r="C9" s="362">
        <f>IF($S$7=1,NL!B8,IF(cal!$S$7=2,EN!B8,IF(cal!$S$7=3,DE!B8,IF(cal!$S$7=4,FR!B8,IF(cal!$S$7=5,NR!B8,IF(cal!$S$7=6,SP!B8,IF(cal!$S$7=7,SW!B8,IF(cal!$S$7=8,TS!B8,IF(cal!$S$7=9,ExtraTaal1!B8,IF(cal!$S$7=10,ExtraTaal2!B8,IF(cal!$S$7=11,ExtraTaal3!B8,)))))))))))</f>
        <v>0</v>
      </c>
      <c r="D9" s="362">
        <f>IF($S$7=1,NL!C8,IF(cal!$S$7=2,EN!C8,IF(cal!$S$7=3,DE!C8,IF(cal!$S$7=4,FR!C8,IF(cal!$S$7=5,NR!C8,IF(cal!$S$7=6,SP!C8,IF(cal!$S$7=7,SW!C8,IF(cal!$S$7=8,TS!C8,IF(cal!$S$7=9,ExtraTaal1!C8,IF(cal!$S$7=10,ExtraTaal2!C8,IF(cal!$S$7=11,ExtraTaal3!C8,)))))))))))</f>
        <v>0</v>
      </c>
      <c r="E9" s="62">
        <f>Freedom!E10</f>
        <v>75</v>
      </c>
      <c r="F9" s="48"/>
      <c r="G9" s="362" t="str">
        <f>B9</f>
        <v>Inlet temp.</v>
      </c>
      <c r="H9" s="362">
        <f>IF($S$7=1,NL!G8,IF(cal!$S$7=2,EN!G8,IF(cal!$S$7=3,DE!G8,IF(cal!$S$7=4,FR!G8,))))</f>
        <v>0</v>
      </c>
      <c r="I9" s="362">
        <f>IF($S$7=1,NL!H8,IF(cal!$S$7=2,EN!H8,IF(cal!$S$7=3,DE!H8,IF(cal!$S$7=4,FR!H8,))))</f>
        <v>0</v>
      </c>
      <c r="J9" s="362">
        <f>IF($S$7=1,NL!I8,IF(cal!$S$7=2,EN!I8,IF(cal!$S$7=3,DE!I8,IF(cal!$S$7=4,FR!I8,))))</f>
        <v>0</v>
      </c>
      <c r="K9" s="62">
        <f>Freedom!K10</f>
        <v>16</v>
      </c>
      <c r="L9" s="7"/>
      <c r="M9" s="340" t="str">
        <f>IF($S$7=1,NL!L8,IF(cal!$S$7=2,EN!L8,IF(cal!$S$7=3,DE!L8,IF(cal!$S$7=4,FR!L8,IF(cal!$S$7=5,NR!L8,IF(cal!$S$7=6,SP!L8,IF(cal!$S$7=7,SW!L8,IF(cal!$S$7=8,TS!L8,IF(cal!$S$7=9,ExtraTaal1!L8,IF(cal!$S$7=10,ExtraTaal2!L8,IF(cal!$S$7=11,ExtraTaal3!L8,)))))))))))</f>
        <v>Unit conversion</v>
      </c>
      <c r="N9" s="341">
        <f>IF($S$7=1,NL!M8,IF(cal!$S$7=2,EN!M8,IF(cal!$S$7=3,DE!M8,IF(cal!$S$7=4,FR!M8,IF(cal!$S$7=5,NR!M8,IF(cal!$S$7=6,SP!M8,IF(cal!$S$7=7,SW!M8,IF(cal!$S$7=8,TS!M8,IF(cal!$S$7=9,ExtraTaal1!M8,IF(cal!$S$7=10,ExtraTaal2!M8,IF(cal!$S$7=11,ExtraTaal3!M8,)))))))))))</f>
        <v>0</v>
      </c>
      <c r="O9" s="251"/>
      <c r="P9" s="13"/>
      <c r="Q9" s="1"/>
      <c r="S9" s="198">
        <f>IF($X$4=1,E9,IF($X$4=2,(E9-32)/1.8))</f>
        <v>75</v>
      </c>
      <c r="X9" s="81">
        <f>IF($X$4=1,K9,IF($X$4=2,(K9-32)/1.8))</f>
        <v>16</v>
      </c>
      <c r="Y9" s="55"/>
    </row>
    <row r="10" spans="2:85" ht="14.5" x14ac:dyDescent="0.35">
      <c r="B10" s="361" t="str">
        <f>IF($S$7=1,NL!A9,IF(cal!$S$7=2,EN!A9,IF(cal!$S$7=3,DE!A9,IF(cal!$S$7=4,FR!A9,IF(cal!$S$7=5,NR!A9,IF(cal!$S$7=6,SP!A9,IF(cal!$S$7=7,SW!A9,IF(cal!$S$7=8,TS!A9,IF(cal!$S$7=9,ExtraTaal1!A9,IF(cal!$S$7=10,ExtraTaal2!A9,IF(cal!$S$7=11,ExtraTaal3!A9,)))))))))))</f>
        <v>Return temp.</v>
      </c>
      <c r="C10" s="362">
        <f>IF($S$7=1,NL!B9,IF(cal!$S$7=2,EN!B9,IF(cal!$S$7=3,DE!B9,IF(cal!$S$7=4,FR!B9,IF(cal!$S$7=5,NR!B9,IF(cal!$S$7=6,SP!B9,IF(cal!$S$7=7,SW!B9,IF(cal!$S$7=8,TS!B9,IF(cal!$S$7=9,ExtraTaal1!B9,IF(cal!$S$7=10,ExtraTaal2!B9,IF(cal!$S$7=11,ExtraTaal3!B9,)))))))))))</f>
        <v>0</v>
      </c>
      <c r="D10" s="362">
        <f>IF($S$7=1,NL!C9,IF(cal!$S$7=2,EN!C9,IF(cal!$S$7=3,DE!C9,IF(cal!$S$7=4,FR!C9,IF(cal!$S$7=5,NR!C9,IF(cal!$S$7=6,SP!C9,IF(cal!$S$7=7,SW!C9,IF(cal!$S$7=8,TS!C9,IF(cal!$S$7=9,ExtraTaal1!C9,IF(cal!$S$7=10,ExtraTaal2!C9,IF(cal!$S$7=11,ExtraTaal3!C9,)))))))))))</f>
        <v>0</v>
      </c>
      <c r="E10" s="61">
        <f>Freedom!E11</f>
        <v>65</v>
      </c>
      <c r="F10" s="48"/>
      <c r="G10" s="362" t="str">
        <f>B10</f>
        <v>Return temp.</v>
      </c>
      <c r="H10" s="362">
        <f>IF($S$7=1,NL!G9,IF(cal!$S$7=2,EN!G9,IF(cal!$S$7=3,DE!G9,IF(cal!$S$7=4,FR!G9,))))</f>
        <v>0</v>
      </c>
      <c r="I10" s="362">
        <f>IF($S$7=1,NL!H9,IF(cal!$S$7=2,EN!H9,IF(cal!$S$7=3,DE!H9,IF(cal!$S$7=4,FR!H9,))))</f>
        <v>0</v>
      </c>
      <c r="J10" s="362">
        <f>IF($S$7=1,NL!I9,IF(cal!$S$7=2,EN!I9,IF(cal!$S$7=3,DE!I9,IF(cal!$S$7=4,FR!I9,))))</f>
        <v>0</v>
      </c>
      <c r="K10" s="62">
        <f>Freedom!K11</f>
        <v>18</v>
      </c>
      <c r="L10" s="7"/>
      <c r="M10" s="7"/>
      <c r="N10" s="7"/>
      <c r="O10" s="7"/>
      <c r="P10" s="13"/>
      <c r="Q10" s="1"/>
      <c r="S10" s="81">
        <f>IF($X$4=1,E10,IF($X$4=2,(E10-32)/1.8))</f>
        <v>65</v>
      </c>
      <c r="T10" s="146" t="s">
        <v>69</v>
      </c>
      <c r="W10" s="145" t="s">
        <v>70</v>
      </c>
      <c r="X10" s="81">
        <f>IF($X$4=1,K10,IF($X$4=2,(K10-32)/1.8))</f>
        <v>18</v>
      </c>
      <c r="Z10" s="114" t="s">
        <v>66</v>
      </c>
      <c r="AA10" s="52" t="s">
        <v>76</v>
      </c>
      <c r="AB10" s="52" t="s">
        <v>77</v>
      </c>
    </row>
    <row r="11" spans="2:85" ht="14.5" x14ac:dyDescent="0.35">
      <c r="B11" s="361" t="str">
        <f>IF($S$7=1,NL!A10,IF(cal!$S$7=2,EN!A10,IF(cal!$S$7=3,DE!A10,IF(cal!$S$7=4,FR!A10,IF(cal!$S$7=5,NR!A10,IF(cal!$S$7=6,SP!A10,IF(cal!$S$7=7,SW!A10,IF(cal!$S$7=8,TS!A10,IF(cal!$S$7=9,ExtraTaal1!A10,IF(cal!$S$7=10,ExtraTaal2!A10,IF(cal!$S$7=11,ExtraTaal3!A10,)))))))))))</f>
        <v>Room temp.</v>
      </c>
      <c r="C11" s="362">
        <f>IF($S$7=1,NL!B10,IF(cal!$S$7=2,EN!B10,IF(cal!$S$7=3,DE!B10,IF(cal!$S$7=4,FR!B10,IF(cal!$S$7=5,NR!B10,IF(cal!$S$7=6,SP!B10,IF(cal!$S$7=7,SW!B10,IF(cal!$S$7=8,TS!B10,IF(cal!$S$7=9,ExtraTaal1!B10,IF(cal!$S$7=10,ExtraTaal2!B10,IF(cal!$S$7=11,ExtraTaal3!B10,)))))))))))</f>
        <v>0</v>
      </c>
      <c r="D11" s="362">
        <f>IF($S$7=1,NL!C10,IF(cal!$S$7=2,EN!C10,IF(cal!$S$7=3,DE!C10,IF(cal!$S$7=4,FR!C10,IF(cal!$S$7=5,NR!C10,IF(cal!$S$7=6,SP!C10,IF(cal!$S$7=7,SW!C10,IF(cal!$S$7=8,TS!C10,IF(cal!$S$7=9,ExtraTaal1!C10,IF(cal!$S$7=10,ExtraTaal2!C10,IF(cal!$S$7=11,ExtraTaal3!C10,)))))))))))</f>
        <v>0</v>
      </c>
      <c r="E11" s="61">
        <f>Freedom!E12</f>
        <v>20</v>
      </c>
      <c r="F11" s="48"/>
      <c r="G11" s="362" t="str">
        <f>B11</f>
        <v>Room temp.</v>
      </c>
      <c r="H11" s="362">
        <f>IF($S$7=1,NL!G10,IF(cal!$S$7=2,EN!G10,IF(cal!$S$7=3,DE!G10,IF(cal!$S$7=4,FR!G10,))))</f>
        <v>0</v>
      </c>
      <c r="I11" s="362"/>
      <c r="J11" s="362"/>
      <c r="K11" s="62">
        <f>Freedom!K12</f>
        <v>27</v>
      </c>
      <c r="L11" s="7"/>
      <c r="M11" s="7"/>
      <c r="N11" s="7"/>
      <c r="O11" s="7"/>
      <c r="P11" s="13"/>
      <c r="Q11" s="1"/>
      <c r="S11" s="81">
        <f>IF($X$4=1,E11,IF($X$4=2,(E11-32)/1.8))</f>
        <v>20</v>
      </c>
      <c r="T11" s="200">
        <f>(($S$9-$S$10)/LN(($S$9-$S$11)/($S$10-$S$11)))/((75-65)/LN((75-20)/(65-20)))</f>
        <v>1</v>
      </c>
      <c r="W11" s="199">
        <f>(($X$9-$X$10)/LN(($X$9-$X$11)/($X$10-$X$11)))/((16-18)/LN((16-27)/(18-27)))</f>
        <v>1</v>
      </c>
      <c r="X11" s="81">
        <f>IF($X$4=1,K11,IF($X$4=2,(K11-32)/1.8))</f>
        <v>27</v>
      </c>
      <c r="Z11" s="117">
        <f>IF($X$4=1,(101325*(1-((0.0065*M8)/(288.15)))^((9.81*0.028964)/(8.31447*0.0065))),IF($X$4=2,(101325*(1-((0.0065*(M8*0.3048))/(288.15)))^((9.81*0.028964)/(8.31447*0.0065)))))</f>
        <v>101325</v>
      </c>
      <c r="AA11" s="152">
        <f>IF($X$4=1,M8/1000,IF($X$4=2,M8*0.0003048))</f>
        <v>0</v>
      </c>
      <c r="AB11" s="152">
        <f>-(0.000265264729874266*AA11^6)+(0.000957582908802335*AA11^5)+(0.00470250661483425*AA11^4)-(0.0298716926548353*AA11^3)+(0.0557086806557086*AA11^2)-(0.0484008125693582*AA11)+1</f>
        <v>1</v>
      </c>
    </row>
    <row r="12" spans="2:85" ht="14.5" x14ac:dyDescent="0.35">
      <c r="B12" s="14" t="str">
        <f>G12</f>
        <v>Relative humidity</v>
      </c>
      <c r="C12" s="7"/>
      <c r="D12" s="7"/>
      <c r="E12" s="252">
        <v>0.5</v>
      </c>
      <c r="F12" s="7"/>
      <c r="G12" s="7" t="str">
        <f>IF($S$7=1,NL!F11,IF(cal!$S$7=2,EN!F11,IF(cal!$S$7=3,DE!F11,IF(cal!$S$7=4,FR!F11,IF(cal!$S$7=5,NR!F11,IF(cal!$S$7=6,SP!F11,IF(cal!$S$7=7,SW!F11,IF(cal!$S$7=8,TS!F11,IF(cal!$S$7=9,ExtraTaal1!F11,IF(cal!$S$7=10,ExtraTaal2!F11,IF(cal!$S$7=11,ExtraTaal3!F11,)))))))))))</f>
        <v>Relative humidity</v>
      </c>
      <c r="H12" s="7"/>
      <c r="I12" s="7"/>
      <c r="J12" s="7"/>
      <c r="K12" s="44">
        <f>Freedom!K13</f>
        <v>0.5</v>
      </c>
      <c r="L12" s="7"/>
      <c r="M12" s="7"/>
      <c r="N12" s="7"/>
      <c r="O12" s="7"/>
      <c r="P12" s="13"/>
      <c r="Q12" s="1"/>
    </row>
    <row r="13" spans="2:85" ht="6" customHeight="1" x14ac:dyDescent="0.35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8"/>
      <c r="Q13" s="1"/>
    </row>
    <row r="14" spans="2:85" ht="14.5" x14ac:dyDescent="0.35">
      <c r="B14" s="63"/>
      <c r="C14" s="63"/>
      <c r="D14" s="89"/>
      <c r="E14" s="89">
        <f>IF($X$4=1,1,IF($X$4=2,0.004403))</f>
        <v>1</v>
      </c>
      <c r="F14" s="89">
        <f>IF($X$4=1,1,IF($X$4=2,4.0147))</f>
        <v>1</v>
      </c>
      <c r="G14" s="89">
        <f>IF($X$4=1,0.000334444444444444,IF($X$4=2,0.000568224721372))</f>
        <v>3.3444444444444401E-4</v>
      </c>
      <c r="H14" s="89">
        <f>IF($X$4=1,1,IF($X$4=2,3.4121416331))</f>
        <v>1</v>
      </c>
      <c r="I14" s="89">
        <f>IF($X$4=1,1,IF($X$4=2,0.004403))</f>
        <v>1</v>
      </c>
      <c r="J14" s="89">
        <f>IF($X$4=1,1,IF($X$4=2,4.0147))</f>
        <v>1</v>
      </c>
      <c r="K14" s="90"/>
      <c r="L14" s="90"/>
      <c r="M14" s="90"/>
      <c r="N14" s="89">
        <f>IF($X$4=1,1,IF($X$4=2,0.588575))</f>
        <v>1</v>
      </c>
      <c r="O14" s="201">
        <f>IF($X$4=1,1,1.8)</f>
        <v>1</v>
      </c>
      <c r="P14" s="201">
        <f>IF($X$4=1,0,32)</f>
        <v>0</v>
      </c>
      <c r="Q14" s="115"/>
      <c r="R14" s="116"/>
    </row>
    <row r="15" spans="2:85" s="51" customFormat="1" ht="103.75" customHeight="1" x14ac:dyDescent="0.35">
      <c r="B15" s="205" t="str">
        <f>IF($S$7=1,NL!A14,IF(cal!$S$7=2,EN!A14,IF(cal!$S$7=3,DE!A14,IF(cal!$S$7=4,FR!A14,IF(cal!$S$7=5,NR!A14,IF(cal!$S$7=6,SP!A14,IF(cal!$S$7=7,SW!A14,IF(cal!$S$7=8,TS!A14,IF(cal!$S$7=9,ExtraTaal1!A14,IF(cal!$S$7=10,ExtraTaal2!A14,IF(cal!$S$7=11,ExtraTaal3!A14,)))))))))))</f>
        <v>Speed level:</v>
      </c>
      <c r="C15" s="206" t="str">
        <f>IF($S$7=1,NL!B14,IF(cal!$S$7=2,EN!B14,IF(cal!$S$7=3,DE!B14,IF(cal!$S$7=4,FR!B14,IF(cal!$S$7=5,NR!B14,IF(cal!$S$7=6,SP!B14,IF(cal!$S$7=7,SW!B14,IF(cal!$S$7=8,TS!B14,IF(cal!$S$7=9,ExtraTaal1!B14,IF(cal!$S$7=10,ExtraTaal2!B14,IF(cal!$S$7=11,ExtraTaal3!B14,)))))))))))</f>
        <v>Control voltage [V]</v>
      </c>
      <c r="D15" s="207" t="str">
        <f>IF($S$7=1,NL!C14,IF(cal!$S$7=2,EN!C14,IF(cal!$S$7=3,DE!C14,IF(cal!$S$7=4,FR!C14,IF(cal!$S$7=5,NR!C14,IF(cal!$S$7=6,SP!C14,IF(cal!$S$7=7,SW!C14,IF(cal!$S$7=8,TS!C14,IF(cal!$S$7=9,ExtraTaal1!C14,IF(cal!$S$7=10,ExtraTaal2!C14,IF(cal!$S$7=11,ExtraTaal3!C14,)))))))))))</f>
        <v>Heat output * 75/65/20 [W]</v>
      </c>
      <c r="E15" s="208" t="str">
        <f>IF($S$7=1,NL!D14,IF(cal!$S$7=2,EN!D14,IF(cal!$S$7=3,DE!D14,IF(cal!$S$7=4,FR!D14,IF(cal!$S$7=5,NR!D14,IF(cal!$S$7=6,SP!D14,IF(cal!$S$7=7,SW!D14,IF(cal!$S$7=8,TS!D14,IF(cal!$S$7=9,ExtraTaal1!D14,IF(cal!$S$7=10,ExtraTaal2!D14,IF(cal!$S$7=11,ExtraTaal3!D14,)))))))))))</f>
        <v>Water flowrate, heating [l/h]</v>
      </c>
      <c r="F15" s="209" t="str">
        <f>IF($S$7=1,NL!E14,IF(cal!$S$7=2,EN!E14,IF(cal!$S$7=3,DE!E14,IF(cal!$S$7=4,FR!E14,IF(cal!$S$7=5,NR!E14,IF(cal!$S$7=6,SP!E14,IF(cal!$S$7=7,SW!E14,IF(cal!$S$7=8,TS!E14,IF(cal!$S$7=9,ExtraTaal1!E14,IF(cal!$S$7=10,ExtraTaal2!E14,IF(cal!$S$7=11,ExtraTaal3!E14,)))))))))))</f>
        <v>Watersided pressure loss [kPa]</v>
      </c>
      <c r="G15" s="210" t="str">
        <f>IF($S$7=1,NL!F14,IF(cal!$S$7=2,EN!F14,IF(cal!$S$7=3,DE!F14,IF(cal!$S$7=4,FR!F14,IF(cal!$S$7=5,NR!F14,IF(cal!$S$7=6,SP!F14,IF(cal!$S$7=7,SW!F14,IF(cal!$S$7=8,TS!F14,IF(cal!$S$7=9,ExtraTaal1!F14,IF(cal!$S$7=10,ExtraTaal2!F14,IF(cal!$S$7=11,ExtraTaal3!F14,)))))))))))</f>
        <v>Sens. cooling capacity * 16/18/27 [W]</v>
      </c>
      <c r="H15" s="211" t="str">
        <f>IF($S$7=1,NL!G14,IF(cal!$S$7=2,EN!G14,IF(cal!$S$7=3,DE!G14,IF(cal!$S$7=4,FR!G14,IF(cal!$S$7=5,NR!G14,IF(cal!$S$7=6,SP!G14,IF(cal!$S$7=7,SW!G14,IF(cal!$S$7=8,TS!G14,IF(cal!$S$7=9,ExtraTaal1!G14,IF(cal!$S$7=10,ExtraTaal2!G14,IF(cal!$S$7=11,ExtraTaal3!G14,)))))))))))</f>
        <v>Tot. cooling capacity 16/18/27 [W]</v>
      </c>
      <c r="I15" s="208" t="str">
        <f>IF($S$7=1,NL!H14,IF(cal!$S$7=2,EN!H14,IF(cal!$S$7=3,DE!H14,IF(cal!$S$7=4,FR!H14,IF(cal!$S$7=5,NR!H14,IF(cal!$S$7=6,SP!H14,IF(cal!$S$7=7,SW!H14,IF(cal!$S$7=8,TS!H14,IF(cal!$S$7=9,ExtraTaal1!H14,IF(cal!$S$7=10,ExtraTaal2!H14,IF(cal!$S$7=11,ExtraTaal3!H14,)))))))))))</f>
        <v>Water flowrate, cooling [l/h]</v>
      </c>
      <c r="J15" s="209" t="str">
        <f>IF($S$7=1,NL!I14,IF(cal!$S$7=2,EN!I14,IF(cal!$S$7=3,DE!I14,IF(cal!$S$7=4,FR!I14,IF(cal!$S$7=5,NR!I14,IF(cal!$S$7=6,SP!I14,IF(cal!$S$7=7,SW!I14,IF(cal!$S$7=8,TS!I14,IF(cal!$S$7=9,ExtraTaal1!I14,IF(cal!$S$7=10,ExtraTaal2!I14,IF(cal!$S$7=11,ExtraTaal3!I14,)))))))))))</f>
        <v>Watersided pressure loss [kPa]</v>
      </c>
      <c r="K15" s="212" t="str">
        <f>IF($S$7=1,NL!J14,IF(cal!$S$7=2,EN!J14,IF(cal!$S$7=3,DE!J14,IF(cal!$S$7=4,FR!J14,IF(cal!$S$7=5,NR!J14,IF(cal!$S$7=6,SP!J14,IF(cal!$S$7=7,SW!J14,IF(cal!$S$7=8,TS!J14,IF(cal!$S$7=9,ExtraTaal1!J14,IF(cal!$S$7=10,ExtraTaal2!J14,IF(cal!$S$7=11,ExtraTaal3!J14,)))))))))))</f>
        <v>Sound pressure *** [dB(A)]</v>
      </c>
      <c r="L15" s="213" t="str">
        <f>IF($S$7=1,NL!K14,IF(cal!$S$7=2,EN!K14,IF(cal!$S$7=3,DE!K14,IF(cal!$S$7=4,FR!K14,IF(cal!$S$7=5,NR!K14,IF(cal!$S$7=6,SP!K14,IF(cal!$S$7=7,SW!K14,IF(cal!$S$7=8,TS!K14,IF(cal!$S$7=9,ExtraTaal1!K14,IF(cal!$S$7=10,ExtraTaal2!K14,IF(cal!$S$7=11,ExtraTaal3!K14,)))))))))))</f>
        <v>Sound power ** [dB(A)]</v>
      </c>
      <c r="M15" s="241" t="str">
        <f>IF($S$7=1,NL!L14,IF(cal!$S$7=2,EN!L14,IF(cal!$S$7=3,DE!L14,IF(cal!$S$7=4,FR!L14,IF(cal!$S$7=5,NR!L14,IF(cal!$S$7=6,SP!L14,IF(cal!$S$7=7,SW!L14,IF(cal!$S$7=8,TS!L14,IF(cal!$S$7=9,ExtraTaal1!L14,IF(cal!$S$7=10,ExtraTaal2!L14,IF(cal!$S$7=11,ExtraTaal3!L14,)))))))))))</f>
        <v>Electrical power [W]</v>
      </c>
      <c r="N15" s="242" t="str">
        <f>IF($S$7=1,NL!M14,IF(cal!$S$7=2,EN!M14,IF(cal!$S$7=3,DE!M14,IF(cal!$S$7=4,FR!M14,IF(cal!$S$7=5,NR!M14,IF(cal!$S$7=6,SP!M14,IF(cal!$S$7=7,SW!M14,IF(cal!$S$7=8,TS!M14,IF(cal!$S$7=9,ExtraTaal1!M14,IF(cal!$S$7=10,ExtraTaal2!M14,IF(cal!$S$7=11,ExtraTaal3!M14,)))))))))))</f>
        <v>Air flowrate [m³/h]</v>
      </c>
      <c r="O15" s="214" t="str">
        <f>IF($S$7=1,NL!N14,IF(cal!$S$7=2,EN!N14,IF(cal!$S$7=3,DE!N14,IF(cal!$S$7=4,FR!N14,IF(cal!$S$7=5,NR!N14,IF(cal!$S$7=6,SP!N14,IF(cal!$S$7=7,SW!N14,IF(cal!$S$7=8,TS!N14,IF(cal!$S$7=9,ExtraTaal1!N14,IF(cal!$S$7=10,ExtraTaal2!N14,IF(cal!$S$7=11,ExtraTaal3!N14,)))))))))))</f>
        <v>Air exhaust temp. heating [°C]</v>
      </c>
      <c r="P15" s="250" t="str">
        <f>IF($S$7=1,NL!O14,IF(cal!$S$7=2,EN!O14,IF(cal!$S$7=3,DE!O14,IF(cal!$S$7=4,FR!O14,IF(cal!$S$7=5,NR!O14,IF(cal!$S$7=6,SP!O14,IF(cal!$S$7=7,SW!O14,IF(cal!$S$7=8,TS!O14,IF(cal!$S$7=9,ExtraTaal1!O14,IF(cal!$S$7=10,ExtraTaal2!O14,IF(cal!$S$7=11,ExtraTaal3!O14,)))))))))))</f>
        <v>Air exhaust temp. cooling [°C]</v>
      </c>
      <c r="Q15" s="91" t="s">
        <v>64</v>
      </c>
      <c r="R15" s="91" t="s">
        <v>65</v>
      </c>
      <c r="S15" s="283"/>
      <c r="U15" s="284"/>
      <c r="V15" s="284"/>
      <c r="X15" s="56" t="s">
        <v>47</v>
      </c>
      <c r="Y15" s="57" t="s">
        <v>48</v>
      </c>
      <c r="Z15" s="57" t="s">
        <v>52</v>
      </c>
      <c r="AA15" s="57" t="s">
        <v>53</v>
      </c>
      <c r="AB15" s="57" t="s">
        <v>54</v>
      </c>
      <c r="AC15" s="57" t="s">
        <v>55</v>
      </c>
      <c r="AD15" s="58" t="s">
        <v>56</v>
      </c>
      <c r="AE15" s="56" t="s">
        <v>47</v>
      </c>
      <c r="AF15" s="57" t="s">
        <v>48</v>
      </c>
      <c r="AG15" s="57" t="s">
        <v>52</v>
      </c>
      <c r="AH15" s="57" t="s">
        <v>53</v>
      </c>
      <c r="AI15" s="57" t="s">
        <v>54</v>
      </c>
      <c r="AJ15" s="57" t="s">
        <v>55</v>
      </c>
      <c r="AK15" s="58" t="s">
        <v>56</v>
      </c>
      <c r="AL15" s="285"/>
      <c r="AM15" s="56" t="s">
        <v>47</v>
      </c>
      <c r="AN15" s="57" t="s">
        <v>48</v>
      </c>
      <c r="AO15" s="57" t="s">
        <v>52</v>
      </c>
      <c r="AP15" s="57" t="s">
        <v>53</v>
      </c>
      <c r="AQ15" s="57" t="s">
        <v>54</v>
      </c>
      <c r="AR15" s="57" t="s">
        <v>55</v>
      </c>
      <c r="AS15" s="58" t="s">
        <v>56</v>
      </c>
      <c r="AT15" s="85"/>
      <c r="AU15" s="85"/>
      <c r="AV15" s="85"/>
      <c r="AW15" s="85"/>
      <c r="AX15" s="56" t="s">
        <v>47</v>
      </c>
      <c r="AY15" s="57" t="s">
        <v>48</v>
      </c>
      <c r="AZ15" s="57" t="s">
        <v>52</v>
      </c>
      <c r="BA15" s="57" t="s">
        <v>53</v>
      </c>
      <c r="BB15" s="57" t="s">
        <v>54</v>
      </c>
      <c r="BC15" s="57" t="s">
        <v>55</v>
      </c>
      <c r="BD15" s="58" t="s">
        <v>56</v>
      </c>
      <c r="BE15" s="56" t="s">
        <v>47</v>
      </c>
      <c r="BF15" s="57" t="s">
        <v>48</v>
      </c>
      <c r="BG15" s="57" t="s">
        <v>52</v>
      </c>
      <c r="BH15" s="57" t="s">
        <v>53</v>
      </c>
      <c r="BI15" s="57" t="s">
        <v>54</v>
      </c>
      <c r="BJ15" s="57" t="s">
        <v>55</v>
      </c>
      <c r="BK15" s="58" t="s">
        <v>56</v>
      </c>
      <c r="BL15" s="56" t="s">
        <v>47</v>
      </c>
      <c r="BM15" s="57" t="s">
        <v>48</v>
      </c>
      <c r="BN15" s="57" t="s">
        <v>52</v>
      </c>
      <c r="BO15" s="57" t="s">
        <v>53</v>
      </c>
      <c r="BP15" s="57" t="s">
        <v>54</v>
      </c>
      <c r="BQ15" s="57" t="s">
        <v>55</v>
      </c>
      <c r="BR15" s="58" t="s">
        <v>56</v>
      </c>
      <c r="BT15" s="56" t="s">
        <v>47</v>
      </c>
      <c r="BU15" s="57" t="s">
        <v>48</v>
      </c>
      <c r="BV15" s="57" t="s">
        <v>52</v>
      </c>
      <c r="BW15" s="57" t="s">
        <v>53</v>
      </c>
      <c r="BX15" s="57" t="s">
        <v>54</v>
      </c>
      <c r="BY15" s="57" t="s">
        <v>55</v>
      </c>
      <c r="BZ15" s="58" t="s">
        <v>56</v>
      </c>
      <c r="CA15" s="56" t="s">
        <v>47</v>
      </c>
      <c r="CB15" s="57" t="s">
        <v>48</v>
      </c>
      <c r="CC15" s="57" t="s">
        <v>52</v>
      </c>
      <c r="CD15" s="57" t="s">
        <v>53</v>
      </c>
      <c r="CE15" s="57" t="s">
        <v>54</v>
      </c>
      <c r="CF15" s="57" t="s">
        <v>55</v>
      </c>
      <c r="CG15" s="58" t="s">
        <v>56</v>
      </c>
    </row>
    <row r="16" spans="2:85" ht="18" customHeight="1" x14ac:dyDescent="0.35">
      <c r="B16" s="337" t="str">
        <f>IF($S$7=1,NL!A15,IF(cal!$S$7=2,EN!A15,IF(cal!$S$7=3,DE!A15,IF(cal!$S$7=4,FR!A15,IF(cal!$S$7=5,NR!A15,IF(cal!$S$7=6,SP!A15,IF(cal!$S$7=7,SW!A15,IF(cal!$S$7=8,TS!A15,IF(cal!$S$7=9,ExtraTaal1!A15,IF(cal!$S$7=10,ExtraTaal2!A15,IF(cal!$S$7=11,ExtraTaal3!A15,)))))))))))</f>
        <v>Freedom height 20 cm width 19 cm length 74 cm (Type 1)</v>
      </c>
      <c r="C16" s="338">
        <f>IF($S$7=1,NL!B15,IF(cal!$S$7=2,EN!B15,IF(cal!$S$7=3,DE!B15,IF(cal!$S$7=4,FR!B15,IF(cal!$S$7=5,NR!B15,IF(cal!$S$7=6,SP!B15,IF(cal!$S$7=7,SW!B15,IF(cal!$S$7=8,TS!B15,IF(cal!$S$7=9,ExtraTaal1!B15,IF(cal!$S$7=10,ExtraTaal2!B15,IF(cal!$S$7=11,ExtraTaal3!B15,)))))))))))</f>
        <v>0</v>
      </c>
      <c r="D16" s="338">
        <f>IF($S$7=1,NL!C15,IF(cal!$S$7=2,EN!C15,IF(cal!$S$7=3,DE!C15,IF(cal!$S$7=4,FR!C15,IF(cal!$S$7=5,NR!C15,IF(cal!$S$7=6,SP!C15,IF(cal!$S$7=7,SW!C15,IF(cal!$S$7=8,TS!C15,IF(cal!$S$7=9,ExtraTaal1!C15,IF(cal!$S$7=10,ExtraTaal2!C15,IF(cal!$S$7=11,ExtraTaal3!C15,)))))))))))</f>
        <v>0</v>
      </c>
      <c r="E16" s="338">
        <f>IF($S$7=1,NL!D15,IF(cal!$S$7=2,EN!D15,IF(cal!$S$7=3,DE!D15,IF(cal!$S$7=4,FR!D15,IF(cal!$S$7=5,NR!D15,IF(cal!$S$7=6,SP!D15,IF(cal!$S$7=7,SW!D15,IF(cal!$S$7=8,TS!D15,IF(cal!$S$7=9,ExtraTaal1!D15,IF(cal!$S$7=10,ExtraTaal2!D15,IF(cal!$S$7=11,ExtraTaal3!D15,)))))))))))</f>
        <v>0</v>
      </c>
      <c r="F16" s="338">
        <f>IF($S$7=1,NL!E15,IF(cal!$S$7=2,EN!E15,IF(cal!$S$7=3,DE!E15,IF(cal!$S$7=4,FR!E15,IF(cal!$S$7=5,NR!E15,IF(cal!$S$7=6,SP!E15,IF(cal!$S$7=7,SW!E15,IF(cal!$S$7=8,TS!E15,IF(cal!$S$7=9,ExtraTaal1!E15,IF(cal!$S$7=10,ExtraTaal2!E15,IF(cal!$S$7=11,ExtraTaal3!E15,)))))))))))</f>
        <v>0</v>
      </c>
      <c r="G16" s="338">
        <f>IF($S$7=1,NL!F15,IF(cal!$S$7=2,EN!F15,IF(cal!$S$7=3,DE!F15,IF(cal!$S$7=4,FR!F15,IF(cal!$S$7=5,NR!F15,IF(cal!$S$7=6,SP!F15,IF(cal!$S$7=7,SW!F15,IF(cal!$S$7=8,TS!F15,IF(cal!$S$7=9,ExtraTaal1!F15,IF(cal!$S$7=10,ExtraTaal2!F15,IF(cal!$S$7=11,ExtraTaal3!F15,)))))))))))</f>
        <v>0</v>
      </c>
      <c r="H16" s="338">
        <f>IF($S$7=1,NL!G15,IF(cal!$S$7=2,EN!G15,IF(cal!$S$7=3,DE!G15,IF(cal!$S$7=4,FR!G15,IF(cal!$S$7=5,NR!G15,IF(cal!$S$7=6,SP!G15,IF(cal!$S$7=7,SW!G15,IF(cal!$S$7=8,TS!G15,IF(cal!$S$7=9,ExtraTaal1!G15,IF(cal!$S$7=10,ExtraTaal2!G15,IF(cal!$S$7=11,ExtraTaal3!G15,)))))))))))</f>
        <v>0</v>
      </c>
      <c r="I16" s="338">
        <f>IF($S$7=1,NL!H15,IF(cal!$S$7=2,EN!H15,IF(cal!$S$7=3,DE!H15,IF(cal!$S$7=4,FR!H15,IF(cal!$S$7=5,NR!H15,IF(cal!$S$7=6,SP!H15,IF(cal!$S$7=7,SW!H15,IF(cal!$S$7=8,TS!H15,IF(cal!$S$7=9,ExtraTaal1!H15,IF(cal!$S$7=10,ExtraTaal2!H15,IF(cal!$S$7=11,ExtraTaal3!H15,)))))))))))</f>
        <v>0</v>
      </c>
      <c r="J16" s="338">
        <f>IF($S$7=1,NL!I15,IF(cal!$S$7=2,EN!I15,IF(cal!$S$7=3,DE!I15,IF(cal!$S$7=4,FR!I15,IF(cal!$S$7=5,NR!I15,IF(cal!$S$7=6,SP!I15,IF(cal!$S$7=7,SW!I15,IF(cal!$S$7=8,TS!I15,IF(cal!$S$7=9,ExtraTaal1!I15,IF(cal!$S$7=10,ExtraTaal2!I15,IF(cal!$S$7=11,ExtraTaal3!I15,)))))))))))</f>
        <v>0</v>
      </c>
      <c r="K16" s="338">
        <f>IF($S$7=1,NL!J15,IF(cal!$S$7=2,EN!J15,IF(cal!$S$7=3,DE!J15,IF(cal!$S$7=4,FR!J15,IF(cal!$S$7=5,NR!J15,IF(cal!$S$7=6,SP!J15,IF(cal!$S$7=7,SW!J15,IF(cal!$S$7=8,TS!J15,IF(cal!$S$7=9,ExtraTaal1!J15,IF(cal!$S$7=10,ExtraTaal2!J15,IF(cal!$S$7=11,ExtraTaal3!J15,)))))))))))</f>
        <v>0</v>
      </c>
      <c r="L16" s="338">
        <f>IF($S$7=1,NL!K15,IF(cal!$S$7=2,EN!K15,IF(cal!$S$7=3,DE!K15,IF(cal!$S$7=4,FR!K15,IF(cal!$S$7=5,NR!K15,IF(cal!$S$7=6,SP!K15,IF(cal!$S$7=7,SW!K15,IF(cal!$S$7=8,TS!K15,IF(cal!$S$7=9,ExtraTaal1!K15,IF(cal!$S$7=10,ExtraTaal2!K15,IF(cal!$S$7=11,ExtraTaal3!K15,)))))))))))</f>
        <v>0</v>
      </c>
      <c r="M16" s="338">
        <f>IF($S$7=1,NL!L15,IF(cal!$S$7=2,EN!L15,IF(cal!$S$7=3,DE!L15,IF(cal!$S$7=4,FR!L15,IF(cal!$S$7=5,NR!L15,IF(cal!$S$7=6,SP!L15,IF(cal!$S$7=7,SW!L15,IF(cal!$S$7=8,TS!L15,IF(cal!$S$7=9,ExtraTaal1!L15,IF(cal!$S$7=10,ExtraTaal2!L15,IF(cal!$S$7=11,ExtraTaal3!L15,)))))))))))</f>
        <v>0</v>
      </c>
      <c r="N16" s="338">
        <f>IF($S$7=1,NL!M15,IF(cal!$S$7=2,EN!M15,IF(cal!$S$7=3,DE!M15,IF(cal!$S$7=4,FR!M15,IF(cal!$S$7=5,NR!M15,IF(cal!$S$7=6,SP!M15,IF(cal!$S$7=7,SW!M15,IF(cal!$S$7=8,TS!M15,IF(cal!$S$7=9,ExtraTaal1!M15,IF(cal!$S$7=10,ExtraTaal2!M15,IF(cal!$S$7=11,ExtraTaal3!M15,)))))))))))</f>
        <v>0</v>
      </c>
      <c r="O16" s="338">
        <f>IF($S$7=1,NL!N15,IF(cal!$S$7=2,EN!N15,IF(cal!$S$7=3,DE!N15,IF(cal!$S$7=4,FR!N15,IF(cal!$S$7=5,NR!N15,IF(cal!$S$7=6,SP!N15,IF(cal!$S$7=7,SW!N15,IF(cal!$S$7=8,TS!N15,IF(cal!$S$7=9,ExtraTaal1!N15,IF(cal!$S$7=10,ExtraTaal2!N15,IF(cal!$S$7=11,ExtraTaal3!N15,)))))))))))</f>
        <v>0</v>
      </c>
      <c r="P16" s="339">
        <f>IF($S$7=1,NL!O15,IF(cal!$S$7=2,EN!O15,IF(cal!$S$7=3,DE!O15,IF(cal!$S$7=4,FR!O15,IF(cal!$S$7=5,NR!O15,IF(cal!$S$7=6,SP!O15,IF(cal!$S$7=7,SW!O15,IF(cal!$S$7=8,TS!O15,IF(cal!$S$7=9,ExtraTaal1!O15,IF(cal!$S$7=10,ExtraTaal2!O15,IF(cal!$S$7=11,ExtraTaal3!O15,)))))))))))</f>
        <v>0</v>
      </c>
      <c r="Q16" s="202" t="s">
        <v>11</v>
      </c>
      <c r="R16" s="52" t="s">
        <v>11</v>
      </c>
      <c r="S16" s="270"/>
      <c r="X16" s="357">
        <f>IF(Freedom!$K$6=cal!Y2,1,IF(Freedom!$K$6=cal!Y3,2,IF(Freedom!$K$6=cal!Y5,3,IF(Freedom!$K$6=cal!Y6,4,IF(Freedom!$K$6=cal!Y7,5,IF(Freedom!$K$6=cal!Y8,6,IF(Freedom!$K$6=cal!Y4,7,)))))))</f>
        <v>1</v>
      </c>
      <c r="Y16" s="358"/>
      <c r="Z16" s="359"/>
      <c r="AA16" s="358"/>
      <c r="AB16" s="359"/>
      <c r="AC16" s="359"/>
      <c r="AD16" s="360"/>
      <c r="AE16" s="344" t="str">
        <f>"Freedom"</f>
        <v>Freedom</v>
      </c>
      <c r="AF16" s="345"/>
      <c r="AG16" s="345"/>
      <c r="AH16" s="345"/>
      <c r="AI16" s="345"/>
      <c r="AJ16" s="345"/>
      <c r="AK16" s="346"/>
      <c r="AL16" s="269"/>
      <c r="AM16" s="344"/>
      <c r="AN16" s="345"/>
      <c r="AO16" s="345"/>
      <c r="AP16" s="345"/>
      <c r="AQ16" s="345"/>
      <c r="AR16" s="345"/>
      <c r="AS16" s="346"/>
      <c r="AT16" s="86"/>
      <c r="AU16" s="1" t="s">
        <v>67</v>
      </c>
      <c r="AV16" s="1" t="s">
        <v>68</v>
      </c>
      <c r="AW16" s="86"/>
      <c r="AX16" s="350"/>
      <c r="AY16" s="351"/>
      <c r="AZ16" s="351"/>
      <c r="BA16" s="351"/>
      <c r="BB16" s="351"/>
      <c r="BC16" s="351"/>
      <c r="BD16" s="352"/>
      <c r="BE16" s="347"/>
      <c r="BF16" s="348"/>
      <c r="BG16" s="348"/>
      <c r="BH16" s="348"/>
      <c r="BI16" s="348"/>
      <c r="BJ16" s="348"/>
      <c r="BK16" s="349"/>
      <c r="BL16" s="347"/>
      <c r="BM16" s="345"/>
      <c r="BN16" s="345"/>
      <c r="BO16" s="345"/>
      <c r="BP16" s="345"/>
      <c r="BQ16" s="345"/>
      <c r="BR16" s="346"/>
      <c r="BS16" s="86"/>
      <c r="BT16" s="344"/>
      <c r="BU16" s="345"/>
      <c r="BV16" s="345"/>
      <c r="BW16" s="345"/>
      <c r="BX16" s="345"/>
      <c r="BY16" s="345"/>
      <c r="BZ16" s="346"/>
      <c r="CA16" s="344"/>
      <c r="CB16" s="345"/>
      <c r="CC16" s="345"/>
      <c r="CD16" s="345"/>
      <c r="CE16" s="345"/>
      <c r="CF16" s="345"/>
      <c r="CG16" s="346"/>
    </row>
    <row r="17" spans="2:85" ht="14.5" x14ac:dyDescent="0.35">
      <c r="B17" s="33">
        <v>0.2</v>
      </c>
      <c r="C17" s="3">
        <v>2</v>
      </c>
      <c r="D17" s="27">
        <f>(X17*($T$11^$Q17))*Watts*CF_Altit</f>
        <v>312.70800000000003</v>
      </c>
      <c r="E17" s="3">
        <f>ROUND(((D17/Watts)/(($S$9-$S$10)*1.163))*$E$14,IF($X$4=1,0,IF($X$4=2,2)))</f>
        <v>27</v>
      </c>
      <c r="F17" s="30">
        <f>($Y$18*(E17/$E$14)^$Y$20)*$F$14</f>
        <v>0.10451976775750199</v>
      </c>
      <c r="G17" s="4">
        <f>(Z17*($W$11^R17))*Watts*CF_Altit</f>
        <v>33.989999999999995</v>
      </c>
      <c r="H17" s="4">
        <f>((G17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17+0.001448)*(Tl_cool-Tavg_cold)+(0.016908*$C17-0.033574))*1.039&gt;1,1,1/(1+((2258*((0.622/(($Z$11/(1*611*EXP(17.27*(Tavg_cold/(Tavg_cold+237.3))))))-1)*1000-(0.622/(($Z$11/(RH*611*EXP(17.27*(Tl_cool/(Tl_cool+237.3))))))-1)*1000))/(1005*(Tavg_cold-Tl_cool))))*1.039+((-0.000729*$C17+0.001448)*(Tl_cool-Tavg_cold)+(0.016908*$C17-0.033574))*1.039))))*Watts</f>
        <v>33.989999999999995</v>
      </c>
      <c r="I17" s="3">
        <f>ROUND(((H17/Watts)/((Tr_cool-Tv_cool)*1.163))*$I$14,IF($X$4=1,0,IF($X$4=2,2)))</f>
        <v>15</v>
      </c>
      <c r="J17" s="5">
        <f>($AA$18*(I17/$I$14)^$AA$20)*$J$14</f>
        <v>3.5785331495427598E-2</v>
      </c>
      <c r="K17" s="59">
        <f>L17-8</f>
        <v>14</v>
      </c>
      <c r="L17" s="53">
        <f t="shared" ref="L17:M21" si="0">AB17</f>
        <v>22</v>
      </c>
      <c r="M17" s="46">
        <f t="shared" si="0"/>
        <v>0.5</v>
      </c>
      <c r="N17" s="64">
        <f>AD17*Cubics</f>
        <v>24</v>
      </c>
      <c r="O17" s="246">
        <f>((($D17/Watts)/(((p_atm*0.028964)/(8.31447*(20+273.15)))*(($N17/3600)/Cubics)*(1005+1870*((0.622)/(((p_atm)/($E$12*Pvs_Heat_in))-1)))))+Tl_heat)*Celc1+Celc2</f>
        <v>58.245781394611512</v>
      </c>
      <c r="P17" s="247">
        <f>(Tl_cool-(($G17/Watts)/(1006*$N17*kgss)))*Celc1+Celc2</f>
        <v>22.790621718195805</v>
      </c>
      <c r="Q17" s="215">
        <v>1</v>
      </c>
      <c r="R17" s="113">
        <v>0.9</v>
      </c>
      <c r="S17" s="271"/>
      <c r="T17" s="272"/>
      <c r="U17" s="272"/>
      <c r="V17" s="273"/>
      <c r="W17" s="173">
        <f>(H17-G17)/H17</f>
        <v>0</v>
      </c>
      <c r="X17" s="118">
        <f t="shared" ref="X17:X48" si="1">IF($X$16=1,AE17,IF($X$16=2,AM17,IF($X$16=3,BL17,IF($X$16=4,BE17,IF($X$16=5,CA17,IF($X$16=6,BT17,IF($X$16=7,AX17,)))))))</f>
        <v>312.70800000000003</v>
      </c>
      <c r="Y17" s="119" t="str">
        <f t="shared" ref="Y17:Y48" si="2">IF($X$16=1,AF17,IF($X$16=2,AN17,IF($X$16=3,BM17,IF($X$16=4,BF17,IF($X$16=5,CB17,IF($X$16=6,BU17,IF($X$16=7,AY17,)))))))</f>
        <v>a</v>
      </c>
      <c r="Z17" s="120">
        <f t="shared" ref="Z17:Z48" si="3">IF($X$16=1,AG17,IF($X$16=2,AO17,IF($X$16=3,BN17,IF($X$16=4,BG17,IF($X$16=5,CC17,IF($X$16=6,BV17,IF($X$16=7,AZ17,)))))))</f>
        <v>33.989999999999995</v>
      </c>
      <c r="AA17" s="119" t="str">
        <f t="shared" ref="AA17:AA48" si="4">IF($X$16=1,AH17,IF($X$16=2,AP17,IF($X$16=3,BO17,IF($X$16=4,BH17,IF($X$16=5,CD17,IF($X$16=6,BW17,IF($X$16=7,BA17,)))))))</f>
        <v>a</v>
      </c>
      <c r="AB17" s="120">
        <f t="shared" ref="AB17:AB48" si="5">IF($X$16=1,AI17,IF($X$16=2,AQ17,IF($X$16=3,BP17,IF($X$16=4,BI17,IF($X$16=5,CE17,IF($X$16=6,BX17,IF($X$16=7,BB17,)))))))</f>
        <v>22</v>
      </c>
      <c r="AC17" s="120">
        <f t="shared" ref="AC17:AC48" si="6">IF($X$16=1,AJ17,IF($X$16=2,AR17,IF($X$16=3,BQ17,IF($X$16=4,BJ17,IF($X$16=5,CF17,IF($X$16=6,BY17,IF($X$16=7,BC17,)))))))</f>
        <v>0.5</v>
      </c>
      <c r="AD17" s="120">
        <f t="shared" ref="AD17:AD48" si="7">IF($X$16=1,AK17,IF($X$16=2,AS17,IF($X$16=3,BR17,IF($X$16=4,BK17,IF($X$16=5,CG17,IF($X$16=6,BZ17,IF($X$16=7,BD17,)))))))</f>
        <v>24</v>
      </c>
      <c r="AE17" s="121">
        <v>312.70800000000003</v>
      </c>
      <c r="AF17" s="119" t="s">
        <v>49</v>
      </c>
      <c r="AG17" s="121">
        <v>33.989999999999995</v>
      </c>
      <c r="AH17" s="119" t="s">
        <v>49</v>
      </c>
      <c r="AI17" s="121">
        <v>22</v>
      </c>
      <c r="AJ17" s="121">
        <v>0.5</v>
      </c>
      <c r="AK17" s="120">
        <v>24</v>
      </c>
      <c r="AL17" s="120"/>
      <c r="AM17" s="118"/>
      <c r="AN17" s="119"/>
      <c r="AO17" s="120"/>
      <c r="AP17" s="119"/>
      <c r="AQ17" s="121"/>
      <c r="AR17" s="121"/>
      <c r="AS17" s="122"/>
      <c r="AT17" s="124"/>
      <c r="AU17" s="1">
        <f>(AG17*((((Tv_cool-Tr_cool)/LN((Tv_cool-Tl_cool)/(Tr_cool-Tl_cool)))/((16-18)/LN((16-27)/(18-27))))^S17))*$G$14</f>
        <v>1.136776666666665E-2</v>
      </c>
      <c r="AV17" s="1">
        <f>((AU17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17+0.00625)*(Tl_cool-(Tv_cool+Tr_cool)/2)-(-0.000625*$C17+0.00625)*10))))*$H$14</f>
        <v>33.989999999999995</v>
      </c>
      <c r="AW17" s="73"/>
      <c r="AX17" s="176"/>
      <c r="AY17" s="177"/>
      <c r="AZ17" s="178"/>
      <c r="BA17" s="177"/>
      <c r="BB17" s="179"/>
      <c r="BC17" s="179"/>
      <c r="BD17" s="180"/>
      <c r="BE17" s="67"/>
      <c r="BF17" s="68"/>
      <c r="BG17" s="69"/>
      <c r="BH17" s="68"/>
      <c r="BI17" s="70"/>
      <c r="BJ17" s="70"/>
      <c r="BK17" s="71"/>
      <c r="BL17" s="67"/>
      <c r="BM17" s="68"/>
      <c r="BN17" s="69"/>
      <c r="BO17" s="68"/>
      <c r="BP17" s="70"/>
      <c r="BQ17" s="70"/>
      <c r="BR17" s="71"/>
      <c r="BS17" s="73"/>
      <c r="BT17" s="67"/>
      <c r="BU17" s="68"/>
      <c r="BV17" s="69"/>
      <c r="BW17" s="68"/>
      <c r="BX17" s="70"/>
      <c r="BY17" s="70"/>
      <c r="BZ17" s="71"/>
      <c r="CA17" s="67"/>
      <c r="CB17" s="68"/>
      <c r="CC17" s="69"/>
      <c r="CD17" s="68"/>
      <c r="CE17" s="70"/>
      <c r="CF17" s="70"/>
      <c r="CG17" s="71"/>
    </row>
    <row r="18" spans="2:85" ht="14.5" x14ac:dyDescent="0.35">
      <c r="B18" s="33">
        <v>0.4</v>
      </c>
      <c r="C18" s="3">
        <v>4</v>
      </c>
      <c r="D18" s="27">
        <f>(X18*($T$11^$Q18))*Watts*CF_Altit</f>
        <v>561.96799999999996</v>
      </c>
      <c r="E18" s="3">
        <f>ROUND(((D18/Watts)/(($S$9-$S$10)*1.163))*$E$14,IF($X$4=1,0,IF($X$4=2,2)))</f>
        <v>48</v>
      </c>
      <c r="F18" s="30">
        <f>($Y$18*(E18/$E$14)^$Y$20)*$F$14</f>
        <v>0.29843785011075069</v>
      </c>
      <c r="G18" s="4">
        <f>(Z18*($W$11^R18))*Watts*CF_Altit</f>
        <v>74.777999999999977</v>
      </c>
      <c r="H18" s="4">
        <f>((G18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18+0.001448)*(Tl_cool-Tavg_cold)+(0.016908*$C18-0.033574))*1.039&gt;1,1,1/(1+((2258*((0.622/(($Z$11/(1*611*EXP(17.27*(Tavg_cold/(Tavg_cold+237.3))))))-1)*1000-(0.622/(($Z$11/(RH*611*EXP(17.27*(Tl_cool/(Tl_cool+237.3))))))-1)*1000))/(1005*(Tavg_cold-Tl_cool))))*1.039+((-0.000729*$C18+0.001448)*(Tl_cool-Tavg_cold)+(0.016908*$C18-0.033574))*1.039))))*Watts</f>
        <v>74.777999999999977</v>
      </c>
      <c r="I18" s="3">
        <f>ROUND(((H18/Watts)/((Tr_cool-Tv_cool)*1.163))*$I$14,IF($X$4=1,0,IF($X$4=2,2)))</f>
        <v>32</v>
      </c>
      <c r="J18" s="5">
        <f>($AA$18*(I18/$I$14)^$AA$20)*$J$14</f>
        <v>0.14247830750649948</v>
      </c>
      <c r="K18" s="59">
        <f>L18-8</f>
        <v>15</v>
      </c>
      <c r="L18" s="53">
        <f t="shared" si="0"/>
        <v>23</v>
      </c>
      <c r="M18" s="46">
        <f t="shared" si="0"/>
        <v>0.8</v>
      </c>
      <c r="N18" s="64">
        <f>AD18*Cubics</f>
        <v>37</v>
      </c>
      <c r="O18" s="248">
        <f>((($D18/Watts)/(((p_atm*0.028964)/(8.31447*(20+273.15)))*(($N18/3600)/Cubics)*(1005+1870*((0.622)/(((p_atm)/($E$12*Pvs_Heat_in))-1)))))+Tl_heat)*Celc1+Celc2</f>
        <v>64.582626490545977</v>
      </c>
      <c r="P18" s="249">
        <f>(Tl_cool-(($G18/Watts)/(1006*$N18*kgss)))*Celc1+Celc2</f>
        <v>20.993103424884822</v>
      </c>
      <c r="Q18" s="215">
        <v>1</v>
      </c>
      <c r="R18" s="113">
        <v>0.9</v>
      </c>
      <c r="S18" s="271"/>
      <c r="T18" s="272"/>
      <c r="U18" s="272"/>
      <c r="V18" s="273"/>
      <c r="W18" s="173">
        <f>(H18-G18)/H18</f>
        <v>0</v>
      </c>
      <c r="X18" s="123">
        <f t="shared" si="1"/>
        <v>561.96799999999996</v>
      </c>
      <c r="Y18" s="124">
        <f t="shared" si="2"/>
        <v>2.5649818987149339E-4</v>
      </c>
      <c r="Z18" s="124">
        <f t="shared" si="3"/>
        <v>74.777999999999977</v>
      </c>
      <c r="AA18" s="124">
        <f t="shared" si="4"/>
        <v>2.5649818987149339E-4</v>
      </c>
      <c r="AB18" s="124">
        <f t="shared" si="5"/>
        <v>23</v>
      </c>
      <c r="AC18" s="124">
        <f t="shared" si="6"/>
        <v>0.8</v>
      </c>
      <c r="AD18" s="124">
        <f t="shared" si="7"/>
        <v>37</v>
      </c>
      <c r="AE18" s="121">
        <v>561.96799999999996</v>
      </c>
      <c r="AF18" s="124">
        <v>2.5649818987149339E-4</v>
      </c>
      <c r="AG18" s="125">
        <v>74.777999999999977</v>
      </c>
      <c r="AH18" s="124">
        <f>AF18</f>
        <v>2.5649818987149339E-4</v>
      </c>
      <c r="AI18" s="125">
        <v>23</v>
      </c>
      <c r="AJ18" s="125">
        <v>0.8</v>
      </c>
      <c r="AK18" s="124">
        <v>37</v>
      </c>
      <c r="AL18" s="124"/>
      <c r="AM18" s="123"/>
      <c r="AN18" s="124"/>
      <c r="AO18" s="124"/>
      <c r="AP18" s="124"/>
      <c r="AQ18" s="125"/>
      <c r="AR18" s="125"/>
      <c r="AS18" s="126"/>
      <c r="AT18" s="124"/>
      <c r="AU18" s="1">
        <f>(AG18*((((Tv_cool-Tr_cool)/LN((Tv_cool-Tl_cool)/(Tr_cool-Tl_cool)))/((16-18)/LN((16-27)/(18-27))))^S18))*$G$14</f>
        <v>2.5009086666666628E-2</v>
      </c>
      <c r="AV18" s="1">
        <f>((AU18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18+0.00625)*(Tl_cool-(Tv_cool+Tr_cool)/2)-(-0.000625*$C18+0.00625)*10))))*$H$14</f>
        <v>74.777999999999977</v>
      </c>
      <c r="AW18" s="73"/>
      <c r="AX18" s="181"/>
      <c r="AY18" s="182"/>
      <c r="AZ18" s="182"/>
      <c r="BA18" s="267"/>
      <c r="BB18" s="183"/>
      <c r="BC18" s="183"/>
      <c r="BD18" s="184"/>
      <c r="BE18" s="72"/>
      <c r="BF18" s="73"/>
      <c r="BG18" s="73"/>
      <c r="BH18" s="73"/>
      <c r="BI18" s="74"/>
      <c r="BJ18" s="74"/>
      <c r="BK18" s="75"/>
      <c r="BL18" s="72"/>
      <c r="BM18" s="73"/>
      <c r="BN18" s="73"/>
      <c r="BO18" s="73"/>
      <c r="BP18" s="74"/>
      <c r="BQ18" s="74"/>
      <c r="BR18" s="75"/>
      <c r="BS18" s="73"/>
      <c r="BT18" s="72"/>
      <c r="BU18" s="73"/>
      <c r="BV18" s="73"/>
      <c r="BW18" s="73"/>
      <c r="BX18" s="74"/>
      <c r="BY18" s="74"/>
      <c r="BZ18" s="75"/>
      <c r="CA18" s="72"/>
      <c r="CB18" s="73"/>
      <c r="CC18" s="73"/>
      <c r="CD18" s="73"/>
      <c r="CE18" s="74"/>
      <c r="CF18" s="74"/>
      <c r="CG18" s="75"/>
    </row>
    <row r="19" spans="2:85" ht="14.5" x14ac:dyDescent="0.35">
      <c r="B19" s="33">
        <v>0.6</v>
      </c>
      <c r="C19" s="3">
        <v>6</v>
      </c>
      <c r="D19" s="27">
        <f>(X19*($T$11^$Q19))*Watts*CF_Altit</f>
        <v>791.96699999999998</v>
      </c>
      <c r="E19" s="3">
        <f>ROUND(((D19/Watts)/(($S$9-$S$10)*1.163))*$E$14,IF($X$4=1,0,IF($X$4=2,2)))</f>
        <v>68</v>
      </c>
      <c r="F19" s="30">
        <f>($Y$18*(E19/$E$14)^$Y$20)*$F$14</f>
        <v>0.56323919121960386</v>
      </c>
      <c r="G19" s="4">
        <f>(Z19*($W$11^R19))*Watts*CF_Altit</f>
        <v>117.83199999999997</v>
      </c>
      <c r="H19" s="4">
        <f>((G19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19+0.001448)*(Tl_cool-Tavg_cold)+(0.016908*$C19-0.033574))*1.039&gt;1,1,1/(1+((2258*((0.622/(($Z$11/(1*611*EXP(17.27*(Tavg_cold/(Tavg_cold+237.3))))))-1)*1000-(0.622/(($Z$11/(RH*611*EXP(17.27*(Tl_cool/(Tl_cool+237.3))))))-1)*1000))/(1005*(Tavg_cold-Tl_cool))))*1.039+((-0.000729*$C19+0.001448)*(Tl_cool-Tavg_cold)+(0.016908*$C19-0.033574))*1.039))))*Watts</f>
        <v>117.83199999999997</v>
      </c>
      <c r="I19" s="3">
        <f>ROUND(((H19/Watts)/((Tr_cool-Tv_cool)*1.163))*$I$14,IF($X$4=1,0,IF($X$4=2,2)))</f>
        <v>51</v>
      </c>
      <c r="J19" s="5">
        <f>($AA$18*(I19/$I$14)^$AA$20)*$J$14</f>
        <v>0.33332288556727424</v>
      </c>
      <c r="K19" s="59">
        <f>L19-8</f>
        <v>23</v>
      </c>
      <c r="L19" s="53">
        <f t="shared" si="0"/>
        <v>31</v>
      </c>
      <c r="M19" s="46">
        <f t="shared" si="0"/>
        <v>1.3</v>
      </c>
      <c r="N19" s="64">
        <f>AD19*Cubics</f>
        <v>52</v>
      </c>
      <c r="O19" s="248">
        <f>((($D19/Watts)/(((p_atm*0.028964)/(8.31447*(20+273.15)))*(($N19/3600)/Cubics)*(1005+1870*((0.622)/(((p_atm)/($E$12*Pvs_Heat_in))-1)))))+Tl_heat)*Celc1+Celc2</f>
        <v>64.705353168617819</v>
      </c>
      <c r="P19" s="249">
        <f>(Tl_cool-(($G19/Watts)/(1006*$N19*kgss)))*Celc1+Celc2</f>
        <v>20.264994749113285</v>
      </c>
      <c r="Q19" s="215">
        <v>1</v>
      </c>
      <c r="R19" s="113">
        <v>0.9</v>
      </c>
      <c r="S19" s="271"/>
      <c r="T19" s="272"/>
      <c r="U19" s="272"/>
      <c r="V19" s="273"/>
      <c r="W19" s="173">
        <f>(H19-G19)/H19</f>
        <v>0</v>
      </c>
      <c r="X19" s="123">
        <f t="shared" si="1"/>
        <v>791.96699999999998</v>
      </c>
      <c r="Y19" s="119" t="str">
        <f t="shared" si="2"/>
        <v>b</v>
      </c>
      <c r="Z19" s="124">
        <f t="shared" si="3"/>
        <v>117.83199999999997</v>
      </c>
      <c r="AA19" s="119" t="str">
        <f t="shared" si="4"/>
        <v>b</v>
      </c>
      <c r="AB19" s="124">
        <f t="shared" si="5"/>
        <v>31</v>
      </c>
      <c r="AC19" s="124">
        <f t="shared" si="6"/>
        <v>1.3</v>
      </c>
      <c r="AD19" s="124">
        <f t="shared" si="7"/>
        <v>52</v>
      </c>
      <c r="AE19" s="121">
        <v>791.96699999999998</v>
      </c>
      <c r="AF19" s="119" t="s">
        <v>50</v>
      </c>
      <c r="AG19" s="125">
        <v>117.83199999999997</v>
      </c>
      <c r="AH19" s="119" t="s">
        <v>50</v>
      </c>
      <c r="AI19" s="125">
        <v>31</v>
      </c>
      <c r="AJ19" s="125">
        <v>1.3</v>
      </c>
      <c r="AK19" s="124">
        <v>52</v>
      </c>
      <c r="AL19" s="124"/>
      <c r="AM19" s="123"/>
      <c r="AN19" s="119"/>
      <c r="AO19" s="124"/>
      <c r="AP19" s="119"/>
      <c r="AQ19" s="125"/>
      <c r="AR19" s="125"/>
      <c r="AS19" s="126"/>
      <c r="AT19" s="124"/>
      <c r="AU19" s="1">
        <f>(AG19*((((Tv_cool-Tr_cool)/LN((Tv_cool-Tl_cool)/(Tr_cool-Tl_cool)))/((16-18)/LN((16-27)/(18-27))))^S19))*$G$14</f>
        <v>3.9408257777777712E-2</v>
      </c>
      <c r="AV19" s="1">
        <f>((AU19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19+0.00625)*(Tl_cool-(Tv_cool+Tr_cool)/2)-(-0.000625*$C19+0.00625)*10))))*$H$14</f>
        <v>117.83199999999995</v>
      </c>
      <c r="AW19" s="73"/>
      <c r="AX19" s="181"/>
      <c r="AY19" s="177"/>
      <c r="AZ19" s="182"/>
      <c r="BA19" s="177"/>
      <c r="BB19" s="183"/>
      <c r="BC19" s="183"/>
      <c r="BD19" s="184"/>
      <c r="BE19" s="72"/>
      <c r="BF19" s="68"/>
      <c r="BG19" s="73"/>
      <c r="BH19" s="68"/>
      <c r="BI19" s="74"/>
      <c r="BJ19" s="74"/>
      <c r="BK19" s="75"/>
      <c r="BL19" s="72"/>
      <c r="BM19" s="68"/>
      <c r="BN19" s="73"/>
      <c r="BO19" s="68"/>
      <c r="BP19" s="74"/>
      <c r="BQ19" s="74"/>
      <c r="BR19" s="75"/>
      <c r="BS19" s="73"/>
      <c r="BT19" s="72"/>
      <c r="BU19" s="68"/>
      <c r="BV19" s="73"/>
      <c r="BW19" s="68"/>
      <c r="BX19" s="74"/>
      <c r="BY19" s="74"/>
      <c r="BZ19" s="75"/>
      <c r="CA19" s="72"/>
      <c r="CB19" s="68"/>
      <c r="CC19" s="73"/>
      <c r="CD19" s="68"/>
      <c r="CE19" s="74"/>
      <c r="CF19" s="74"/>
      <c r="CG19" s="75"/>
    </row>
    <row r="20" spans="2:85" ht="14.5" x14ac:dyDescent="0.35">
      <c r="B20" s="33">
        <v>0.8</v>
      </c>
      <c r="C20" s="3">
        <v>8</v>
      </c>
      <c r="D20" s="27">
        <f>(X20*($T$11^$Q20))*Watts*CF_Altit</f>
        <v>1009.503</v>
      </c>
      <c r="E20" s="3">
        <f>ROUND(((D20/Watts)/(($S$9-$S$10)*1.163))*$E$14,IF($X$4=1,0,IF($X$4=2,2)))</f>
        <v>87</v>
      </c>
      <c r="F20" s="30">
        <f>($Y$18*(E20/$E$14)^$Y$20)*$F$14</f>
        <v>0.88273000450333838</v>
      </c>
      <c r="G20" s="4">
        <f>(Z20*($W$11^R20))*Watts*CF_Altit</f>
        <v>163.15199999999993</v>
      </c>
      <c r="H20" s="4">
        <f>((G20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20+0.001448)*(Tl_cool-Tavg_cold)+(0.016908*$C20-0.033574))*1.039&gt;1,1,1/(1+((2258*((0.622/(($Z$11/(1*611*EXP(17.27*(Tavg_cold/(Tavg_cold+237.3))))))-1)*1000-(0.622/(($Z$11/(RH*611*EXP(17.27*(Tl_cool/(Tl_cool+237.3))))))-1)*1000))/(1005*(Tavg_cold-Tl_cool))))*1.039+((-0.000729*$C20+0.001448)*(Tl_cool-Tavg_cold)+(0.016908*$C20-0.033574))*1.039))))*Watts</f>
        <v>163.15199999999993</v>
      </c>
      <c r="I20" s="3">
        <f>ROUND(((H20/Watts)/((Tr_cool-Tv_cool)*1.163))*$I$14,IF($X$4=1,0,IF($X$4=2,2)))</f>
        <v>70</v>
      </c>
      <c r="J20" s="5">
        <f>($AA$18*(I20/$I$14)^$AA$20)*$J$14</f>
        <v>0.59381250082624693</v>
      </c>
      <c r="K20" s="59">
        <f>L20-8</f>
        <v>28</v>
      </c>
      <c r="L20" s="53">
        <f t="shared" si="0"/>
        <v>36</v>
      </c>
      <c r="M20" s="46">
        <f t="shared" si="0"/>
        <v>2.1</v>
      </c>
      <c r="N20" s="64">
        <f>AD20*Cubics</f>
        <v>68</v>
      </c>
      <c r="O20" s="248">
        <f>((($D20/Watts)/(((p_atm*0.028964)/(8.31447*(20+273.15)))*(($N20/3600)/Cubics)*(1005+1870*((0.622)/(((p_atm)/($E$12*Pvs_Heat_in))-1)))))+Tl_heat)*Celc1+Celc2</f>
        <v>63.576715118412864</v>
      </c>
      <c r="P20" s="249">
        <f>(Tl_cool-(($G20/Watts)/(1006*$N20*kgss)))*Celc1+Celc2</f>
        <v>19.868817969649363</v>
      </c>
      <c r="Q20" s="215">
        <v>1</v>
      </c>
      <c r="R20" s="113">
        <v>0.9</v>
      </c>
      <c r="S20" s="271"/>
      <c r="T20" s="272"/>
      <c r="U20" s="272"/>
      <c r="V20" s="273"/>
      <c r="W20" s="173">
        <f>(H20-G20)/H20</f>
        <v>0</v>
      </c>
      <c r="X20" s="123">
        <f t="shared" si="1"/>
        <v>1009.503</v>
      </c>
      <c r="Y20" s="124">
        <f t="shared" si="2"/>
        <v>1.8235155847906248</v>
      </c>
      <c r="Z20" s="124">
        <f t="shared" si="3"/>
        <v>163.15199999999993</v>
      </c>
      <c r="AA20" s="124">
        <f t="shared" si="4"/>
        <v>1.8235155847906248</v>
      </c>
      <c r="AB20" s="124">
        <f t="shared" si="5"/>
        <v>36</v>
      </c>
      <c r="AC20" s="124">
        <f t="shared" si="6"/>
        <v>2.1</v>
      </c>
      <c r="AD20" s="124">
        <f t="shared" si="7"/>
        <v>68</v>
      </c>
      <c r="AE20" s="121">
        <v>1009.503</v>
      </c>
      <c r="AF20" s="124">
        <v>1.8235155847906248</v>
      </c>
      <c r="AG20" s="125">
        <v>163.15199999999993</v>
      </c>
      <c r="AH20" s="124">
        <f>AF20</f>
        <v>1.8235155847906248</v>
      </c>
      <c r="AI20" s="125">
        <v>36</v>
      </c>
      <c r="AJ20" s="125">
        <v>2.1</v>
      </c>
      <c r="AK20" s="124">
        <v>68</v>
      </c>
      <c r="AL20" s="124"/>
      <c r="AM20" s="123"/>
      <c r="AN20" s="124"/>
      <c r="AO20" s="124"/>
      <c r="AP20" s="124"/>
      <c r="AQ20" s="125"/>
      <c r="AR20" s="125"/>
      <c r="AS20" s="126"/>
      <c r="AT20" s="124"/>
      <c r="AU20" s="1">
        <f>(AG20*((((Tv_cool-Tr_cool)/LN((Tv_cool-Tl_cool)/(Tr_cool-Tl_cool)))/((16-18)/LN((16-27)/(18-27))))^S20))*$G$14</f>
        <v>5.4565279999999904E-2</v>
      </c>
      <c r="AV20" s="1">
        <f>((AU20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20+0.00625)*(Tl_cool-(Tv_cool+Tr_cool)/2)-(-0.000625*$C20+0.00625)*10))))*$H$14</f>
        <v>163.15199999999993</v>
      </c>
      <c r="AW20" s="73"/>
      <c r="AX20" s="181"/>
      <c r="AY20" s="182"/>
      <c r="AZ20" s="182"/>
      <c r="BA20" s="182"/>
      <c r="BB20" s="183"/>
      <c r="BC20" s="183"/>
      <c r="BD20" s="184"/>
      <c r="BE20" s="72"/>
      <c r="BF20" s="73"/>
      <c r="BG20" s="73"/>
      <c r="BH20" s="73"/>
      <c r="BI20" s="74"/>
      <c r="BJ20" s="74"/>
      <c r="BK20" s="75"/>
      <c r="BL20" s="72"/>
      <c r="BM20" s="73"/>
      <c r="BN20" s="73"/>
      <c r="BO20" s="73"/>
      <c r="BP20" s="74"/>
      <c r="BQ20" s="74"/>
      <c r="BR20" s="75"/>
      <c r="BS20" s="73"/>
      <c r="BT20" s="72"/>
      <c r="BU20" s="73"/>
      <c r="BV20" s="73"/>
      <c r="BW20" s="73"/>
      <c r="BX20" s="74"/>
      <c r="BY20" s="74"/>
      <c r="BZ20" s="75"/>
      <c r="CA20" s="72"/>
      <c r="CB20" s="73"/>
      <c r="CC20" s="73"/>
      <c r="CD20" s="73"/>
      <c r="CE20" s="74"/>
      <c r="CF20" s="74"/>
      <c r="CG20" s="75"/>
    </row>
    <row r="21" spans="2:85" ht="14.5" x14ac:dyDescent="0.35">
      <c r="B21" s="33">
        <v>1</v>
      </c>
      <c r="C21" s="3">
        <v>10</v>
      </c>
      <c r="D21" s="27">
        <f>(X21*($T$11^$Q21))*Watts*CF_Altit</f>
        <v>1217.9749999999999</v>
      </c>
      <c r="E21" s="3">
        <f>ROUND(((D21/Watts)/(($S$9-$S$10)*1.163))*$E$14,IF($X$4=1,0,IF($X$4=2,2)))</f>
        <v>105</v>
      </c>
      <c r="F21" s="30">
        <f>($Y$18*(E21/$E$14)^$Y$20)*$F$14</f>
        <v>1.2438112805866202</v>
      </c>
      <c r="G21" s="4">
        <f>(Z21*($W$11^R21))*Watts*CF_Altit</f>
        <v>209.60499999999993</v>
      </c>
      <c r="H21" s="4">
        <f>((G21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21+0.001448)*(Tl_cool-Tavg_cold)+(0.016908*$C21-0.033574))*1.039&gt;1,1,1/(1+((2258*((0.622/(($Z$11/(1*611*EXP(17.27*(Tavg_cold/(Tavg_cold+237.3))))))-1)*1000-(0.622/(($Z$11/(RH*611*EXP(17.27*(Tl_cool/(Tl_cool+237.3))))))-1)*1000))/(1005*(Tavg_cold-Tl_cool))))*1.039+((-0.000729*$C21+0.001448)*(Tl_cool-Tavg_cold)+(0.016908*$C21-0.033574))*1.039))))*Watts</f>
        <v>209.60499999999993</v>
      </c>
      <c r="I21" s="3">
        <f>ROUND(((H21/Watts)/((Tr_cool-Tv_cool)*1.163))*$I$14,IF($X$4=1,0,IF($X$4=2,2)))</f>
        <v>90</v>
      </c>
      <c r="J21" s="5">
        <f>($AA$18*(I21/$I$14)^$AA$20)*$J$14</f>
        <v>0.93902245345157098</v>
      </c>
      <c r="K21" s="59">
        <f>L21-8</f>
        <v>34</v>
      </c>
      <c r="L21" s="53">
        <f t="shared" si="0"/>
        <v>42</v>
      </c>
      <c r="M21" s="46">
        <f t="shared" si="0"/>
        <v>3</v>
      </c>
      <c r="N21" s="64">
        <f>AD21*Cubics</f>
        <v>79</v>
      </c>
      <c r="O21" s="248">
        <f>((($D21/Watts)/(((p_atm*0.028964)/(8.31447*(20+273.15)))*(($N21/3600)/Cubics)*(1005+1870*((0.622)/(((p_atm)/($E$12*Pvs_Heat_in))-1)))))+Tl_heat)*Celc1+Celc2</f>
        <v>65.25505228311215</v>
      </c>
      <c r="P21" s="249">
        <f>(Tl_cool-(($G21/Watts)/(1006*$N21*kgss)))*Celc1+Celc2</f>
        <v>19.114076130290876</v>
      </c>
      <c r="Q21" s="215">
        <v>1</v>
      </c>
      <c r="R21" s="113">
        <v>0.9</v>
      </c>
      <c r="S21" s="271"/>
      <c r="T21" s="272"/>
      <c r="U21" s="272"/>
      <c r="V21" s="273"/>
      <c r="W21" s="173">
        <f>(H21-G21)/H21</f>
        <v>0</v>
      </c>
      <c r="X21" s="123">
        <f t="shared" si="1"/>
        <v>1217.9749999999999</v>
      </c>
      <c r="Y21" s="140">
        <f t="shared" si="2"/>
        <v>0</v>
      </c>
      <c r="Z21" s="129">
        <f t="shared" si="3"/>
        <v>209.60499999999993</v>
      </c>
      <c r="AA21" s="140">
        <f t="shared" si="4"/>
        <v>0</v>
      </c>
      <c r="AB21" s="129">
        <f t="shared" si="5"/>
        <v>42</v>
      </c>
      <c r="AC21" s="129">
        <f t="shared" si="6"/>
        <v>3</v>
      </c>
      <c r="AD21" s="129">
        <f t="shared" si="7"/>
        <v>79</v>
      </c>
      <c r="AE21" s="121">
        <v>1217.9749999999999</v>
      </c>
      <c r="AF21" s="128"/>
      <c r="AG21" s="130">
        <v>209.60499999999993</v>
      </c>
      <c r="AH21" s="128"/>
      <c r="AI21" s="130">
        <v>42</v>
      </c>
      <c r="AJ21" s="130">
        <v>3</v>
      </c>
      <c r="AK21" s="129">
        <v>79</v>
      </c>
      <c r="AL21" s="129"/>
      <c r="AM21" s="127"/>
      <c r="AN21" s="128"/>
      <c r="AO21" s="129"/>
      <c r="AP21" s="128"/>
      <c r="AQ21" s="130"/>
      <c r="AR21" s="130"/>
      <c r="AS21" s="131"/>
      <c r="AT21" s="124"/>
      <c r="AU21" s="1">
        <f>(AG21*((((Tv_cool-Tr_cool)/LN((Tv_cool-Tl_cool)/(Tr_cool-Tl_cool)))/((16-18)/LN((16-27)/(18-27))))^S21))*$G$14</f>
        <v>7.0101227777777664E-2</v>
      </c>
      <c r="AV21" s="1">
        <f>((AU21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21+0.00625)*(Tl_cool-(Tv_cool+Tr_cool)/2)-(-0.000625*$C21+0.00625)*10))))*$H$14</f>
        <v>209.60499999999993</v>
      </c>
      <c r="AW21" s="73"/>
      <c r="AX21" s="185"/>
      <c r="AY21" s="186"/>
      <c r="AZ21" s="187"/>
      <c r="BA21" s="186"/>
      <c r="BB21" s="188"/>
      <c r="BC21" s="188"/>
      <c r="BD21" s="189"/>
      <c r="BE21" s="76"/>
      <c r="BF21" s="77"/>
      <c r="BG21" s="78"/>
      <c r="BH21" s="77"/>
      <c r="BI21" s="79"/>
      <c r="BJ21" s="79"/>
      <c r="BK21" s="80"/>
      <c r="BL21" s="76"/>
      <c r="BM21" s="77"/>
      <c r="BN21" s="78"/>
      <c r="BO21" s="77"/>
      <c r="BP21" s="79"/>
      <c r="BQ21" s="79"/>
      <c r="BR21" s="80"/>
      <c r="BS21" s="73"/>
      <c r="BT21" s="76"/>
      <c r="BU21" s="77"/>
      <c r="BV21" s="78"/>
      <c r="BW21" s="77"/>
      <c r="BX21" s="79"/>
      <c r="BY21" s="79"/>
      <c r="BZ21" s="80"/>
      <c r="CA21" s="76"/>
      <c r="CB21" s="77"/>
      <c r="CC21" s="78"/>
      <c r="CD21" s="77"/>
      <c r="CE21" s="79"/>
      <c r="CF21" s="79"/>
      <c r="CG21" s="80"/>
    </row>
    <row r="22" spans="2:85" ht="16.899999999999999" customHeight="1" x14ac:dyDescent="0.35">
      <c r="B22" s="337" t="str">
        <f>IF($S$7=1,NL!A21,IF(cal!$S$7=2,EN!A21,IF(cal!$S$7=3,DE!A21,IF(cal!$S$7=4,FR!A21,IF(cal!$S$7=5,NR!A21,IF(cal!$S$7=6,SP!A21,IF(cal!$S$7=7,SW!A21,IF(cal!$S$7=8,TS!A21,IF(cal!$S$7=9,ExtraTaal1!A21,IF(cal!$S$7=10,ExtraTaal2!A21,IF(cal!$S$7=11,ExtraTaal3!A21,)))))))))))</f>
        <v>Freedom height 20 cm width 19 cm length 110 cm (Type 2)</v>
      </c>
      <c r="C22" s="338">
        <f>IF($S$7=1,NL!B21,IF(cal!$S$7=2,EN!B21,IF(cal!$S$7=3,DE!B21,IF(cal!$S$7=4,FR!B21,IF(cal!$S$7=5,NR!B21,IF(cal!$S$7=6,SP!B21,IF(cal!$S$7=7,SW!B21,IF(cal!$S$7=8,TS!B21,IF(cal!$S$7=9,ExtraTaal1!B21,IF(cal!$S$7=10,ExtraTaal2!B21,IF(cal!$S$7=11,ExtraTaal3!B21,)))))))))))</f>
        <v>0</v>
      </c>
      <c r="D22" s="338">
        <f>IF($S$7=1,NL!C21,IF(cal!$S$7=2,EN!C21,IF(cal!$S$7=3,DE!C21,IF(cal!$S$7=4,FR!C21,IF(cal!$S$7=5,NR!C21,IF(cal!$S$7=6,SP!C21,IF(cal!$S$7=7,SW!C21,IF(cal!$S$7=8,TS!C21,IF(cal!$S$7=9,ExtraTaal1!C21,IF(cal!$S$7=10,ExtraTaal2!C21,IF(cal!$S$7=11,ExtraTaal3!C21,)))))))))))</f>
        <v>0</v>
      </c>
      <c r="E22" s="338">
        <f>IF($S$7=1,NL!D21,IF(cal!$S$7=2,EN!D21,IF(cal!$S$7=3,DE!D21,IF(cal!$S$7=4,FR!D21,IF(cal!$S$7=5,NR!D21,IF(cal!$S$7=6,SP!D21,IF(cal!$S$7=7,SW!D21,IF(cal!$S$7=8,TS!D21,IF(cal!$S$7=9,ExtraTaal1!D21,IF(cal!$S$7=10,ExtraTaal2!D21,IF(cal!$S$7=11,ExtraTaal3!D21,)))))))))))</f>
        <v>0</v>
      </c>
      <c r="F22" s="338">
        <f>IF($S$7=1,NL!E21,IF(cal!$S$7=2,EN!E21,IF(cal!$S$7=3,DE!E21,IF(cal!$S$7=4,FR!E21,IF(cal!$S$7=5,NR!E21,IF(cal!$S$7=6,SP!E21,IF(cal!$S$7=7,SW!E21,IF(cal!$S$7=8,TS!E21,IF(cal!$S$7=9,ExtraTaal1!E21,IF(cal!$S$7=10,ExtraTaal2!E21,IF(cal!$S$7=11,ExtraTaal3!E21,)))))))))))</f>
        <v>0</v>
      </c>
      <c r="G22" s="338">
        <f>IF($S$7=1,NL!F21,IF(cal!$S$7=2,EN!F21,IF(cal!$S$7=3,DE!F21,IF(cal!$S$7=4,FR!F21,IF(cal!$S$7=5,NR!F21,IF(cal!$S$7=6,SP!F21,IF(cal!$S$7=7,SW!F21,IF(cal!$S$7=8,TS!F21,IF(cal!$S$7=9,ExtraTaal1!F21,IF(cal!$S$7=10,ExtraTaal2!F21,IF(cal!$S$7=11,ExtraTaal3!F21,)))))))))))</f>
        <v>0</v>
      </c>
      <c r="H22" s="338">
        <f>IF($S$7=1,NL!G21,IF(cal!$S$7=2,EN!G21,IF(cal!$S$7=3,DE!G21,IF(cal!$S$7=4,FR!G21,IF(cal!$S$7=5,NR!G21,IF(cal!$S$7=6,SP!G21,IF(cal!$S$7=7,SW!G21,IF(cal!$S$7=8,TS!G21,IF(cal!$S$7=9,ExtraTaal1!G21,IF(cal!$S$7=10,ExtraTaal2!G21,IF(cal!$S$7=11,ExtraTaal3!G21,)))))))))))</f>
        <v>0</v>
      </c>
      <c r="I22" s="338">
        <f>IF($S$7=1,NL!H21,IF(cal!$S$7=2,EN!H21,IF(cal!$S$7=3,DE!H21,IF(cal!$S$7=4,FR!H21,IF(cal!$S$7=5,NR!H21,IF(cal!$S$7=6,SP!H21,IF(cal!$S$7=7,SW!H21,IF(cal!$S$7=8,TS!H21,IF(cal!$S$7=9,ExtraTaal1!H21,IF(cal!$S$7=10,ExtraTaal2!H21,IF(cal!$S$7=11,ExtraTaal3!H21,)))))))))))</f>
        <v>0</v>
      </c>
      <c r="J22" s="338">
        <f>IF($S$7=1,NL!I21,IF(cal!$S$7=2,EN!I21,IF(cal!$S$7=3,DE!I21,IF(cal!$S$7=4,FR!I21,IF(cal!$S$7=5,NR!I21,IF(cal!$S$7=6,SP!I21,IF(cal!$S$7=7,SW!I21,IF(cal!$S$7=8,TS!I21,IF(cal!$S$7=9,ExtraTaal1!I21,IF(cal!$S$7=10,ExtraTaal2!I21,IF(cal!$S$7=11,ExtraTaal3!I21,)))))))))))</f>
        <v>0</v>
      </c>
      <c r="K22" s="338">
        <f>IF($S$7=1,NL!J21,IF(cal!$S$7=2,EN!J21,IF(cal!$S$7=3,DE!J21,IF(cal!$S$7=4,FR!J21,IF(cal!$S$7=5,NR!J21,IF(cal!$S$7=6,SP!J21,IF(cal!$S$7=7,SW!J21,IF(cal!$S$7=8,TS!J21,IF(cal!$S$7=9,ExtraTaal1!J21,IF(cal!$S$7=10,ExtraTaal2!J21,IF(cal!$S$7=11,ExtraTaal3!J21,)))))))))))</f>
        <v>0</v>
      </c>
      <c r="L22" s="338">
        <f>IF($S$7=1,NL!K21,IF(cal!$S$7=2,EN!K21,IF(cal!$S$7=3,DE!K21,IF(cal!$S$7=4,FR!K21,IF(cal!$S$7=5,NR!K21,IF(cal!$S$7=6,SP!K21,IF(cal!$S$7=7,SW!K21,IF(cal!$S$7=8,TS!K21,IF(cal!$S$7=9,ExtraTaal1!K21,IF(cal!$S$7=10,ExtraTaal2!K21,IF(cal!$S$7=11,ExtraTaal3!K21,)))))))))))</f>
        <v>0</v>
      </c>
      <c r="M22" s="338">
        <f>IF($S$7=1,NL!L21,IF(cal!$S$7=2,EN!L21,IF(cal!$S$7=3,DE!L21,IF(cal!$S$7=4,FR!L21,IF(cal!$S$7=5,NR!L21,IF(cal!$S$7=6,SP!L21,IF(cal!$S$7=7,SW!L21,IF(cal!$S$7=8,TS!L21,IF(cal!$S$7=9,ExtraTaal1!L21,IF(cal!$S$7=10,ExtraTaal2!L21,IF(cal!$S$7=11,ExtraTaal3!L21,)))))))))))</f>
        <v>0</v>
      </c>
      <c r="N22" s="338">
        <f>IF($S$7=1,NL!M21,IF(cal!$S$7=2,EN!M21,IF(cal!$S$7=3,DE!M21,IF(cal!$S$7=4,FR!M21,IF(cal!$S$7=5,NR!M21,IF(cal!$S$7=6,SP!M21,IF(cal!$S$7=7,SW!M21,IF(cal!$S$7=8,TS!M21,IF(cal!$S$7=9,ExtraTaal1!M21,IF(cal!$S$7=10,ExtraTaal2!M21,IF(cal!$S$7=11,ExtraTaal3!M21,)))))))))))</f>
        <v>0</v>
      </c>
      <c r="O22" s="338">
        <f>IF($S$7=1,NL!N21,IF(cal!$S$7=2,EN!N21,IF(cal!$S$7=3,DE!N21,IF(cal!$S$7=4,FR!N21,IF(cal!$S$7=5,NR!N21,IF(cal!$S$7=6,SP!N21,IF(cal!$S$7=7,SW!N21,IF(cal!$S$7=8,TS!N21,IF(cal!$S$7=9,ExtraTaal1!N21,IF(cal!$S$7=10,ExtraTaal2!N21,IF(cal!$S$7=11,ExtraTaal3!N21,)))))))))))</f>
        <v>0</v>
      </c>
      <c r="P22" s="339">
        <f>IF($S$7=1,NL!O21,IF(cal!$S$7=2,EN!O21,IF(cal!$S$7=3,DE!O21,IF(cal!$S$7=4,FR!O21,IF(cal!$S$7=5,NR!O21,IF(cal!$S$7=6,SP!O21,IF(cal!$S$7=7,SW!O21,IF(cal!$S$7=8,TS!O21,IF(cal!$S$7=9,ExtraTaal1!O21,IF(cal!$S$7=10,ExtraTaal2!O21,IF(cal!$S$7=11,ExtraTaal3!O21,)))))))))))</f>
        <v>0</v>
      </c>
      <c r="Q22" s="202" t="s">
        <v>11</v>
      </c>
      <c r="R22" s="113">
        <f t="shared" ref="R22:R69" si="8">IF($X$16=1,S22,IF($X$16=2,S22,IF($X$16=3,U22,IF($X$16=4,U22,IF($X$16=5,V22,IF($X$16=6,V22,IF($X$16=7,T22,)))))))</f>
        <v>0</v>
      </c>
      <c r="S22" s="274"/>
      <c r="T22" s="272"/>
      <c r="W22" s="173"/>
      <c r="X22" s="132" t="str">
        <f t="shared" si="1"/>
        <v>H</v>
      </c>
      <c r="Y22" s="147">
        <f t="shared" si="2"/>
        <v>20</v>
      </c>
      <c r="Z22" s="132" t="str">
        <f t="shared" si="3"/>
        <v>B</v>
      </c>
      <c r="AA22" s="147">
        <f t="shared" si="4"/>
        <v>19</v>
      </c>
      <c r="AB22" s="132" t="str">
        <f t="shared" si="5"/>
        <v>L</v>
      </c>
      <c r="AC22" s="137">
        <f t="shared" si="6"/>
        <v>74</v>
      </c>
      <c r="AD22" s="135">
        <f t="shared" si="7"/>
        <v>0</v>
      </c>
      <c r="AE22" s="121" t="s">
        <v>61</v>
      </c>
      <c r="AF22" s="133">
        <v>20</v>
      </c>
      <c r="AG22" s="132" t="s">
        <v>62</v>
      </c>
      <c r="AH22" s="133">
        <v>19</v>
      </c>
      <c r="AI22" s="132" t="s">
        <v>63</v>
      </c>
      <c r="AJ22" s="134">
        <v>74</v>
      </c>
      <c r="AK22" s="135"/>
      <c r="AL22" s="135"/>
      <c r="AM22" s="132"/>
      <c r="AN22" s="133"/>
      <c r="AO22" s="132"/>
      <c r="AP22" s="133"/>
      <c r="AQ22" s="132"/>
      <c r="AR22" s="136"/>
      <c r="AS22" s="135"/>
      <c r="AT22" s="141"/>
      <c r="AU22" s="1"/>
      <c r="AV22" s="1"/>
      <c r="AW22" s="86"/>
      <c r="AX22" s="190"/>
      <c r="AY22" s="191"/>
      <c r="AZ22" s="190"/>
      <c r="BA22" s="191"/>
      <c r="BB22" s="190"/>
      <c r="BC22" s="191"/>
      <c r="BD22" s="192"/>
      <c r="BE22" s="83"/>
      <c r="BF22" s="84"/>
      <c r="BG22" s="83"/>
      <c r="BH22" s="84"/>
      <c r="BI22" s="83"/>
      <c r="BJ22" s="84"/>
      <c r="BK22" s="82"/>
      <c r="BL22" s="83"/>
      <c r="BM22" s="84"/>
      <c r="BN22" s="83"/>
      <c r="BO22" s="84"/>
      <c r="BP22" s="83"/>
      <c r="BQ22" s="84"/>
      <c r="BR22" s="82"/>
      <c r="BS22" s="86"/>
      <c r="BT22" s="83"/>
      <c r="BU22" s="84"/>
      <c r="BV22" s="83"/>
      <c r="BW22" s="84"/>
      <c r="BX22" s="83"/>
      <c r="BY22" s="142"/>
      <c r="BZ22" s="82"/>
      <c r="CA22" s="83"/>
      <c r="CB22" s="84"/>
      <c r="CC22" s="83"/>
      <c r="CD22" s="84"/>
      <c r="CE22" s="83"/>
      <c r="CF22" s="143"/>
      <c r="CG22" s="82"/>
    </row>
    <row r="23" spans="2:85" ht="14.5" x14ac:dyDescent="0.35">
      <c r="B23" s="33">
        <v>0.2</v>
      </c>
      <c r="C23" s="3">
        <v>2</v>
      </c>
      <c r="D23" s="27">
        <f>(X23*($T$11^$Q23))*Watts*CF_Altit</f>
        <v>625.33100000000002</v>
      </c>
      <c r="E23" s="3">
        <f>ROUND(((D23/Watts)/(($S$9-$S$10)*1.163))*$E$14,IF($X$4=1,0,IF($X$4=2,2)))</f>
        <v>54</v>
      </c>
      <c r="F23" s="30">
        <f>($Y$24*(E23/$E$14)^$Y$26)*$F$14</f>
        <v>0.57982211611847723</v>
      </c>
      <c r="G23" s="4">
        <f>(Z23*($W$11^R23))*Watts*CF_Altit</f>
        <v>68.137999999999977</v>
      </c>
      <c r="H23" s="4">
        <f>((G23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23+0.001448)*(Tl_cool-Tavg_cold)+(0.016908*$C23-0.033574))*1.039&gt;1,1,1/(1+((2258*((0.622/(($Z$11/(1*611*EXP(17.27*(Tavg_cold/(Tavg_cold+237.3))))))-1)*1000-(0.622/(($Z$11/(RH*611*EXP(17.27*(Tl_cool/(Tl_cool+237.3))))))-1)*1000))/(1005*(Tavg_cold-Tl_cool))))*1.039+((-0.000729*$C23+0.001448)*(Tl_cool-Tavg_cold)+(0.016908*$C23-0.033574))*1.039))))*Watts</f>
        <v>68.137999999999977</v>
      </c>
      <c r="I23" s="3">
        <f>ROUND(((H23/Watts)/((Tr_cool-Tv_cool)*1.163))*$I$14,IF($X$4=1,0,IF($X$4=2,2)))</f>
        <v>29</v>
      </c>
      <c r="J23" s="5">
        <f>($AA$24*(I23/$I$14)^$AA$26)*$J$14</f>
        <v>0.18661789951710783</v>
      </c>
      <c r="K23" s="59">
        <f>L23-8</f>
        <v>15</v>
      </c>
      <c r="L23" s="53">
        <f t="shared" ref="L23:M27" si="9">AB23</f>
        <v>23</v>
      </c>
      <c r="M23" s="46">
        <f t="shared" si="9"/>
        <v>0.6</v>
      </c>
      <c r="N23" s="64">
        <f>AD23*Cubics</f>
        <v>42</v>
      </c>
      <c r="O23" s="246">
        <f>((($D23/Watts)/(((p_atm*0.028964)/(8.31447*(20+273.15)))*(($N23/3600)/Cubics)*(1005+1870*((0.622)/(((p_atm)/($E$12*Pvs_Heat_in))-1)))))+Tl_heat)*Celc1+Celc2</f>
        <v>63.703523917838119</v>
      </c>
      <c r="P23" s="247">
        <f>(Tl_cool-(($G23/Watts)/(1006*$N23*kgss)))*Celc1+Celc2</f>
        <v>22.178100830234534</v>
      </c>
      <c r="Q23" s="215">
        <v>1</v>
      </c>
      <c r="R23" s="113">
        <v>0.9</v>
      </c>
      <c r="S23" s="271"/>
      <c r="T23" s="272"/>
      <c r="U23" s="272"/>
      <c r="V23" s="273"/>
      <c r="W23" s="173">
        <f>(H23-G23)/H23</f>
        <v>0</v>
      </c>
      <c r="X23" s="118">
        <f t="shared" si="1"/>
        <v>625.33100000000002</v>
      </c>
      <c r="Y23" s="119" t="str">
        <f t="shared" si="2"/>
        <v>a</v>
      </c>
      <c r="Z23" s="120">
        <f t="shared" si="3"/>
        <v>68.137999999999977</v>
      </c>
      <c r="AA23" s="119" t="str">
        <f t="shared" si="4"/>
        <v>a</v>
      </c>
      <c r="AB23" s="120">
        <f t="shared" si="5"/>
        <v>23</v>
      </c>
      <c r="AC23" s="120">
        <f t="shared" si="6"/>
        <v>0.6</v>
      </c>
      <c r="AD23" s="120">
        <f t="shared" si="7"/>
        <v>42</v>
      </c>
      <c r="AE23" s="121">
        <v>625.33100000000002</v>
      </c>
      <c r="AF23" s="119" t="s">
        <v>49</v>
      </c>
      <c r="AG23" s="121">
        <v>68.137999999999977</v>
      </c>
      <c r="AH23" s="119" t="s">
        <v>49</v>
      </c>
      <c r="AI23" s="121">
        <v>23</v>
      </c>
      <c r="AJ23" s="121">
        <v>0.6</v>
      </c>
      <c r="AK23" s="122">
        <v>42</v>
      </c>
      <c r="AL23" s="120"/>
      <c r="AM23" s="118"/>
      <c r="AN23" s="119"/>
      <c r="AO23" s="120"/>
      <c r="AP23" s="119"/>
      <c r="AQ23" s="121"/>
      <c r="AR23" s="121"/>
      <c r="AS23" s="122"/>
      <c r="AT23" s="124"/>
      <c r="AU23" s="1">
        <f>(AG23*((((Tv_cool-Tr_cool)/LN((Tv_cool-Tl_cool)/(Tr_cool-Tl_cool)))/((16-18)/LN((16-27)/(18-27))))^S23))*$G$14</f>
        <v>2.2788375555555518E-2</v>
      </c>
      <c r="AV23" s="1">
        <f>((AU23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23+0.00625)*(Tl_cool-(Tv_cool+Tr_cool)/2)-(-0.000625*$C23+0.00625)*10))))*$H$14</f>
        <v>68.137999999999977</v>
      </c>
      <c r="AW23" s="73"/>
      <c r="AX23" s="176"/>
      <c r="AY23" s="177"/>
      <c r="AZ23" s="178"/>
      <c r="BA23" s="177"/>
      <c r="BB23" s="179"/>
      <c r="BC23" s="179"/>
      <c r="BD23" s="180"/>
      <c r="BE23" s="67"/>
      <c r="BF23" s="68"/>
      <c r="BG23" s="69"/>
      <c r="BH23" s="68"/>
      <c r="BI23" s="70"/>
      <c r="BJ23" s="70"/>
      <c r="BK23" s="71"/>
      <c r="BL23" s="67"/>
      <c r="BM23" s="68"/>
      <c r="BN23" s="69"/>
      <c r="BO23" s="68"/>
      <c r="BP23" s="70"/>
      <c r="BQ23" s="70"/>
      <c r="BR23" s="71"/>
      <c r="BS23" s="73"/>
      <c r="BT23" s="67"/>
      <c r="BU23" s="68"/>
      <c r="BV23" s="69"/>
      <c r="BW23" s="68"/>
      <c r="BX23" s="70"/>
      <c r="BY23" s="70"/>
      <c r="BZ23" s="71"/>
      <c r="CA23" s="67"/>
      <c r="CB23" s="68"/>
      <c r="CC23" s="69"/>
      <c r="CD23" s="68"/>
      <c r="CE23" s="70"/>
      <c r="CF23" s="70"/>
      <c r="CG23" s="71"/>
    </row>
    <row r="24" spans="2:85" ht="14.5" x14ac:dyDescent="0.35">
      <c r="B24" s="33">
        <v>0.4</v>
      </c>
      <c r="C24" s="3">
        <v>4</v>
      </c>
      <c r="D24" s="27">
        <f>(X24*($T$11^$Q24))*Watts*CF_Altit</f>
        <v>1122.079</v>
      </c>
      <c r="E24" s="3">
        <f>ROUND(((D24/Watts)/(($S$9-$S$10)*1.163))*$E$14,IF($X$4=1,0,IF($X$4=2,2)))</f>
        <v>96</v>
      </c>
      <c r="F24" s="30">
        <f>($Y$24*(E24/$E$14)^$Y$26)*$F$14</f>
        <v>1.6555802743700996</v>
      </c>
      <c r="G24" s="4">
        <f>(Z24*($W$11^R24))*Watts*CF_Altit</f>
        <v>148.36499999999995</v>
      </c>
      <c r="H24" s="4">
        <f>((G24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24+0.001448)*(Tl_cool-Tavg_cold)+(0.016908*$C24-0.033574))*1.039&gt;1,1,1/(1+((2258*((0.622/(($Z$11/(1*611*EXP(17.27*(Tavg_cold/(Tavg_cold+237.3))))))-1)*1000-(0.622/(($Z$11/(RH*611*EXP(17.27*(Tl_cool/(Tl_cool+237.3))))))-1)*1000))/(1005*(Tavg_cold-Tl_cool))))*1.039+((-0.000729*$C24+0.001448)*(Tl_cool-Tavg_cold)+(0.016908*$C24-0.033574))*1.039))))*Watts</f>
        <v>148.36499999999995</v>
      </c>
      <c r="I24" s="3">
        <f>ROUND(((H24/Watts)/((Tr_cool-Tv_cool)*1.163))*$I$14,IF($X$4=1,0,IF($X$4=2,2)))</f>
        <v>64</v>
      </c>
      <c r="J24" s="5">
        <f>($AA$24*(I24/$I$14)^$AA$26)*$J$14</f>
        <v>0.79039664488221262</v>
      </c>
      <c r="K24" s="59">
        <f>L24-8</f>
        <v>19</v>
      </c>
      <c r="L24" s="53">
        <f t="shared" si="9"/>
        <v>27</v>
      </c>
      <c r="M24" s="46">
        <f t="shared" si="9"/>
        <v>1.3</v>
      </c>
      <c r="N24" s="64">
        <f>AD24*Cubics</f>
        <v>75</v>
      </c>
      <c r="O24" s="248">
        <f>((($D24/Watts)/(((p_atm*0.028964)/(8.31447*(20+273.15)))*(($N24/3600)/Cubics)*(1005+1870*((0.622)/(((p_atm)/($E$12*Pvs_Heat_in))-1)))))+Tl_heat)*Celc1+Celc2</f>
        <v>63.91551289149934</v>
      </c>
      <c r="P24" s="249">
        <f>(Tl_cool-(($G24/Watts)/(1006*$N24*kgss)))*Celc1+Celc2</f>
        <v>21.120393915576305</v>
      </c>
      <c r="Q24" s="215">
        <v>1</v>
      </c>
      <c r="R24" s="113">
        <v>0.9</v>
      </c>
      <c r="S24" s="271"/>
      <c r="T24" s="272"/>
      <c r="U24" s="272"/>
      <c r="V24" s="273"/>
      <c r="W24" s="173">
        <f>(H24-G24)/H24</f>
        <v>0</v>
      </c>
      <c r="X24" s="123">
        <f t="shared" si="1"/>
        <v>1122.079</v>
      </c>
      <c r="Y24" s="124">
        <f t="shared" si="2"/>
        <v>4.0202009009986008E-4</v>
      </c>
      <c r="Z24" s="124">
        <f t="shared" si="3"/>
        <v>148.36499999999995</v>
      </c>
      <c r="AA24" s="124">
        <f t="shared" si="4"/>
        <v>4.0202009009986008E-4</v>
      </c>
      <c r="AB24" s="124">
        <f t="shared" si="5"/>
        <v>27</v>
      </c>
      <c r="AC24" s="124">
        <f t="shared" si="6"/>
        <v>1.3</v>
      </c>
      <c r="AD24" s="124">
        <f t="shared" si="7"/>
        <v>75</v>
      </c>
      <c r="AE24" s="121">
        <v>1122.079</v>
      </c>
      <c r="AF24" s="124">
        <v>4.0202009009986008E-4</v>
      </c>
      <c r="AG24" s="125">
        <v>148.36499999999995</v>
      </c>
      <c r="AH24" s="124">
        <f>AF24</f>
        <v>4.0202009009986008E-4</v>
      </c>
      <c r="AI24" s="125">
        <v>27</v>
      </c>
      <c r="AJ24" s="125">
        <v>1.3</v>
      </c>
      <c r="AK24" s="126">
        <v>75</v>
      </c>
      <c r="AL24" s="124"/>
      <c r="AM24" s="123"/>
      <c r="AN24" s="124"/>
      <c r="AO24" s="124"/>
      <c r="AP24" s="124"/>
      <c r="AQ24" s="125"/>
      <c r="AR24" s="125"/>
      <c r="AS24" s="126"/>
      <c r="AT24" s="124"/>
      <c r="AU24" s="1">
        <f>(AG24*((((Tv_cool-Tr_cool)/LN((Tv_cool-Tl_cool)/(Tr_cool-Tl_cool)))/((16-18)/LN((16-27)/(18-27))))^S24))*$G$14</f>
        <v>4.9619849999999917E-2</v>
      </c>
      <c r="AV24" s="1">
        <f>((AU24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24+0.00625)*(Tl_cool-(Tv_cool+Tr_cool)/2)-(-0.000625*$C24+0.00625)*10))))*$H$14</f>
        <v>148.36499999999995</v>
      </c>
      <c r="AW24" s="73"/>
      <c r="AX24" s="181"/>
      <c r="AY24" s="182"/>
      <c r="AZ24" s="182"/>
      <c r="BA24" s="267"/>
      <c r="BB24" s="183"/>
      <c r="BC24" s="183"/>
      <c r="BD24" s="184"/>
      <c r="BE24" s="72"/>
      <c r="BF24" s="73"/>
      <c r="BG24" s="73"/>
      <c r="BH24" s="73"/>
      <c r="BI24" s="74"/>
      <c r="BJ24" s="74"/>
      <c r="BK24" s="75"/>
      <c r="BL24" s="72"/>
      <c r="BM24" s="73"/>
      <c r="BN24" s="73"/>
      <c r="BO24" s="73"/>
      <c r="BP24" s="74"/>
      <c r="BQ24" s="74"/>
      <c r="BR24" s="75"/>
      <c r="BS24" s="73"/>
      <c r="BT24" s="72"/>
      <c r="BU24" s="73"/>
      <c r="BV24" s="73"/>
      <c r="BW24" s="73"/>
      <c r="BX24" s="74"/>
      <c r="BY24" s="74"/>
      <c r="BZ24" s="75"/>
      <c r="CA24" s="72"/>
      <c r="CB24" s="73"/>
      <c r="CC24" s="73"/>
      <c r="CD24" s="73"/>
      <c r="CE24" s="74"/>
      <c r="CF24" s="74"/>
      <c r="CG24" s="75"/>
    </row>
    <row r="25" spans="2:85" ht="14.5" x14ac:dyDescent="0.35">
      <c r="B25" s="33">
        <v>0.6</v>
      </c>
      <c r="C25" s="3">
        <v>6</v>
      </c>
      <c r="D25" s="27">
        <f>(X25*($T$11^$Q25))*Watts*CF_Altit</f>
        <v>1580.3620000000001</v>
      </c>
      <c r="E25" s="3">
        <f>ROUND(((D25/Watts)/(($S$9-$S$10)*1.163))*$E$14,IF($X$4=1,0,IF($X$4=2,2)))</f>
        <v>136</v>
      </c>
      <c r="F25" s="30">
        <f>($Y$24*(E25/$E$14)^$Y$26)*$F$14</f>
        <v>3.1245624319746947</v>
      </c>
      <c r="G25" s="4">
        <f>(Z25*($W$11^R25))*Watts*CF_Altit</f>
        <v>235.18599999999992</v>
      </c>
      <c r="H25" s="4">
        <f>((G25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25+0.001448)*(Tl_cool-Tavg_cold)+(0.016908*$C25-0.033574))*1.039&gt;1,1,1/(1+((2258*((0.622/(($Z$11/(1*611*EXP(17.27*(Tavg_cold/(Tavg_cold+237.3))))))-1)*1000-(0.622/(($Z$11/(RH*611*EXP(17.27*(Tl_cool/(Tl_cool+237.3))))))-1)*1000))/(1005*(Tavg_cold-Tl_cool))))*1.039+((-0.000729*$C25+0.001448)*(Tl_cool-Tavg_cold)+(0.016908*$C25-0.033574))*1.039))))*Watts</f>
        <v>235.18599999999992</v>
      </c>
      <c r="I25" s="3">
        <f>ROUND(((H25/Watts)/((Tr_cool-Tv_cool)*1.163))*$I$14,IF($X$4=1,0,IF($X$4=2,2)))</f>
        <v>101</v>
      </c>
      <c r="J25" s="5">
        <f>($AA$24*(I25/$I$14)^$AA$26)*$J$14</f>
        <v>1.816180542521981</v>
      </c>
      <c r="K25" s="59">
        <f>L25-8</f>
        <v>29</v>
      </c>
      <c r="L25" s="53">
        <f t="shared" si="9"/>
        <v>37</v>
      </c>
      <c r="M25" s="46">
        <f t="shared" si="9"/>
        <v>2.7</v>
      </c>
      <c r="N25" s="64">
        <f>AD25*Cubics</f>
        <v>98</v>
      </c>
      <c r="O25" s="248">
        <f>((($D25/Watts)/(((p_atm*0.028964)/(8.31447*(20+273.15)))*(($N25/3600)/Cubics)*(1005+1870*((0.622)/(((p_atm)/($E$12*Pvs_Heat_in))-1)))))+Tl_heat)*Celc1+Celc2</f>
        <v>67.335426106340364</v>
      </c>
      <c r="P25" s="249">
        <f>(Tl_cool-(($G25/Watts)/(1006*$N25*kgss)))*Celc1+Celc2</f>
        <v>19.867144546107305</v>
      </c>
      <c r="Q25" s="215">
        <v>1</v>
      </c>
      <c r="R25" s="113">
        <v>0.9</v>
      </c>
      <c r="S25" s="271"/>
      <c r="T25" s="272"/>
      <c r="U25" s="272"/>
      <c r="V25" s="273"/>
      <c r="W25" s="173">
        <f>(H25-G25)/H25</f>
        <v>0</v>
      </c>
      <c r="X25" s="123">
        <f t="shared" si="1"/>
        <v>1580.3620000000001</v>
      </c>
      <c r="Y25" s="119" t="str">
        <f t="shared" si="2"/>
        <v>b</v>
      </c>
      <c r="Z25" s="124">
        <f t="shared" si="3"/>
        <v>235.18599999999992</v>
      </c>
      <c r="AA25" s="119" t="str">
        <f t="shared" si="4"/>
        <v>b</v>
      </c>
      <c r="AB25" s="124">
        <f t="shared" si="5"/>
        <v>37</v>
      </c>
      <c r="AC25" s="124">
        <f t="shared" si="6"/>
        <v>2.7</v>
      </c>
      <c r="AD25" s="124">
        <f t="shared" si="7"/>
        <v>98</v>
      </c>
      <c r="AE25" s="121">
        <v>1580.3620000000001</v>
      </c>
      <c r="AF25" s="119" t="s">
        <v>50</v>
      </c>
      <c r="AG25" s="125">
        <v>235.18599999999992</v>
      </c>
      <c r="AH25" s="119" t="s">
        <v>50</v>
      </c>
      <c r="AI25" s="125">
        <v>37</v>
      </c>
      <c r="AJ25" s="125">
        <v>2.7</v>
      </c>
      <c r="AK25" s="126">
        <v>98</v>
      </c>
      <c r="AL25" s="124"/>
      <c r="AM25" s="123"/>
      <c r="AN25" s="119"/>
      <c r="AO25" s="124"/>
      <c r="AP25" s="119"/>
      <c r="AQ25" s="125"/>
      <c r="AR25" s="125"/>
      <c r="AS25" s="126"/>
      <c r="AT25" s="124"/>
      <c r="AU25" s="1">
        <f>(AG25*((((Tv_cool-Tr_cool)/LN((Tv_cool-Tl_cool)/(Tr_cool-Tl_cool)))/((16-18)/LN((16-27)/(18-27))))^S25))*$G$14</f>
        <v>7.865665111111099E-2</v>
      </c>
      <c r="AV25" s="1">
        <f>((AU25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25+0.00625)*(Tl_cool-(Tv_cool+Tr_cool)/2)-(-0.000625*$C25+0.00625)*10))))*$H$14</f>
        <v>235.18599999999995</v>
      </c>
      <c r="AW25" s="73"/>
      <c r="AX25" s="181"/>
      <c r="AY25" s="177"/>
      <c r="AZ25" s="182"/>
      <c r="BA25" s="177"/>
      <c r="BB25" s="183"/>
      <c r="BC25" s="183"/>
      <c r="BD25" s="184"/>
      <c r="BE25" s="72"/>
      <c r="BF25" s="68"/>
      <c r="BG25" s="73"/>
      <c r="BH25" s="68"/>
      <c r="BI25" s="74"/>
      <c r="BJ25" s="74"/>
      <c r="BK25" s="75"/>
      <c r="BL25" s="72"/>
      <c r="BM25" s="68"/>
      <c r="BN25" s="73"/>
      <c r="BO25" s="68"/>
      <c r="BP25" s="74"/>
      <c r="BQ25" s="74"/>
      <c r="BR25" s="75"/>
      <c r="BS25" s="73"/>
      <c r="BT25" s="72"/>
      <c r="BU25" s="68"/>
      <c r="BV25" s="73"/>
      <c r="BW25" s="68"/>
      <c r="BX25" s="74"/>
      <c r="BY25" s="74"/>
      <c r="BZ25" s="75"/>
      <c r="CA25" s="72"/>
      <c r="CB25" s="68"/>
      <c r="CC25" s="73"/>
      <c r="CD25" s="68"/>
      <c r="CE25" s="74"/>
      <c r="CF25" s="74"/>
      <c r="CG25" s="75"/>
    </row>
    <row r="26" spans="2:85" ht="14.5" x14ac:dyDescent="0.35">
      <c r="B26" s="33">
        <v>0.8</v>
      </c>
      <c r="C26" s="3">
        <v>8</v>
      </c>
      <c r="D26" s="27">
        <f>(X26*($T$11^$Q26))*Watts*CF_Altit</f>
        <v>2015.566</v>
      </c>
      <c r="E26" s="3">
        <f>ROUND(((D26/Watts)/(($S$9-$S$10)*1.163))*$E$14,IF($X$4=1,0,IF($X$4=2,2)))</f>
        <v>173</v>
      </c>
      <c r="F26" s="30">
        <f>($Y$24*(E26/$E$14)^$Y$26)*$F$14</f>
        <v>4.8457355024670399</v>
      </c>
      <c r="G26" s="4">
        <f>(Z26*($W$11^R26))*Watts*CF_Altit</f>
        <v>325.30399999999986</v>
      </c>
      <c r="H26" s="4">
        <f>((G26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26+0.001448)*(Tl_cool-Tavg_cold)+(0.016908*$C26-0.033574))*1.039&gt;1,1,1/(1+((2258*((0.622/(($Z$11/(1*611*EXP(17.27*(Tavg_cold/(Tavg_cold+237.3))))))-1)*1000-(0.622/(($Z$11/(RH*611*EXP(17.27*(Tl_cool/(Tl_cool+237.3))))))-1)*1000))/(1005*(Tavg_cold-Tl_cool))))*1.039+((-0.000729*$C26+0.001448)*(Tl_cool-Tavg_cold)+(0.016908*$C26-0.033574))*1.039))))*Watts</f>
        <v>325.30399999999986</v>
      </c>
      <c r="I26" s="3">
        <f>ROUND(((H26/Watts)/((Tr_cool-Tv_cool)*1.163))*$I$14,IF($X$4=1,0,IF($X$4=2,2)))</f>
        <v>140</v>
      </c>
      <c r="J26" s="5">
        <f>($AA$24*(I26/$I$14)^$AA$26)*$J$14</f>
        <v>3.2941674880631955</v>
      </c>
      <c r="K26" s="59">
        <f>L26-8</f>
        <v>32</v>
      </c>
      <c r="L26" s="53">
        <f t="shared" si="9"/>
        <v>40</v>
      </c>
      <c r="M26" s="46">
        <f t="shared" si="9"/>
        <v>4.5999999999999996</v>
      </c>
      <c r="N26" s="64">
        <f>AD26*Cubics</f>
        <v>125</v>
      </c>
      <c r="O26" s="248">
        <f>((($D26/Watts)/(((p_atm*0.028964)/(8.31447*(20+273.15)))*(($N26/3600)/Cubics)*(1005+1870*((0.622)/(((p_atm)/($E$12*Pvs_Heat_in))-1)))))+Tl_heat)*Celc1+Celc2</f>
        <v>67.330685980221233</v>
      </c>
      <c r="P26" s="249">
        <f>(Tl_cool-(($G26/Watts)/(1006*$N26*kgss)))*Celc1+Celc2</f>
        <v>19.265051551158159</v>
      </c>
      <c r="Q26" s="215">
        <v>1</v>
      </c>
      <c r="R26" s="113">
        <v>0.9</v>
      </c>
      <c r="S26" s="271"/>
      <c r="T26" s="272"/>
      <c r="U26" s="272"/>
      <c r="V26" s="273"/>
      <c r="W26" s="173">
        <f>(H26-G26)/H26</f>
        <v>0</v>
      </c>
      <c r="X26" s="123">
        <f t="shared" si="1"/>
        <v>2015.566</v>
      </c>
      <c r="Y26" s="124">
        <f t="shared" si="2"/>
        <v>1.8235155847906248</v>
      </c>
      <c r="Z26" s="124">
        <f t="shared" si="3"/>
        <v>325.30399999999986</v>
      </c>
      <c r="AA26" s="124">
        <f t="shared" si="4"/>
        <v>1.8235155847906248</v>
      </c>
      <c r="AB26" s="124">
        <f t="shared" si="5"/>
        <v>40</v>
      </c>
      <c r="AC26" s="124">
        <f t="shared" si="6"/>
        <v>4.5999999999999996</v>
      </c>
      <c r="AD26" s="124">
        <f t="shared" si="7"/>
        <v>125</v>
      </c>
      <c r="AE26" s="121">
        <v>2015.566</v>
      </c>
      <c r="AF26" s="124">
        <v>1.8235155847906248</v>
      </c>
      <c r="AG26" s="125">
        <v>325.30399999999986</v>
      </c>
      <c r="AH26" s="124">
        <f>AF26</f>
        <v>1.8235155847906248</v>
      </c>
      <c r="AI26" s="125">
        <v>40</v>
      </c>
      <c r="AJ26" s="125">
        <v>4.5999999999999996</v>
      </c>
      <c r="AK26" s="126">
        <v>125</v>
      </c>
      <c r="AL26" s="124"/>
      <c r="AM26" s="123"/>
      <c r="AN26" s="124"/>
      <c r="AO26" s="124"/>
      <c r="AP26" s="124"/>
      <c r="AQ26" s="125"/>
      <c r="AR26" s="125"/>
      <c r="AS26" s="126"/>
      <c r="AT26" s="124"/>
      <c r="AU26" s="1">
        <f>(AG26*((((Tv_cool-Tr_cool)/LN((Tv_cool-Tl_cool)/(Tr_cool-Tl_cool)))/((16-18)/LN((16-27)/(18-27))))^S26))*$G$14</f>
        <v>0.10879611555555536</v>
      </c>
      <c r="AV26" s="1">
        <f>((AU26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26+0.00625)*(Tl_cool-(Tv_cool+Tr_cool)/2)-(-0.000625*$C26+0.00625)*10))))*$H$14</f>
        <v>325.30399999999986</v>
      </c>
      <c r="AW26" s="73"/>
      <c r="AX26" s="181"/>
      <c r="AY26" s="182"/>
      <c r="AZ26" s="182"/>
      <c r="BA26" s="182"/>
      <c r="BB26" s="183"/>
      <c r="BC26" s="183"/>
      <c r="BD26" s="184"/>
      <c r="BE26" s="72"/>
      <c r="BF26" s="73"/>
      <c r="BG26" s="73"/>
      <c r="BH26" s="73"/>
      <c r="BI26" s="74"/>
      <c r="BJ26" s="74"/>
      <c r="BK26" s="75"/>
      <c r="BL26" s="72"/>
      <c r="BM26" s="73"/>
      <c r="BN26" s="73"/>
      <c r="BO26" s="73"/>
      <c r="BP26" s="74"/>
      <c r="BQ26" s="74"/>
      <c r="BR26" s="75"/>
      <c r="BS26" s="73"/>
      <c r="BT26" s="72"/>
      <c r="BU26" s="73"/>
      <c r="BV26" s="73"/>
      <c r="BW26" s="73"/>
      <c r="BX26" s="74"/>
      <c r="BY26" s="74"/>
      <c r="BZ26" s="75"/>
      <c r="CA26" s="72"/>
      <c r="CB26" s="73"/>
      <c r="CC26" s="73"/>
      <c r="CD26" s="73"/>
      <c r="CE26" s="74"/>
      <c r="CF26" s="74"/>
      <c r="CG26" s="75"/>
    </row>
    <row r="27" spans="2:85" ht="14.5" x14ac:dyDescent="0.35">
      <c r="B27" s="33">
        <v>1</v>
      </c>
      <c r="C27" s="3">
        <v>10</v>
      </c>
      <c r="D27" s="27">
        <f>(X27*($T$11^$Q27))*Watts*CF_Altit</f>
        <v>2433.1860000000001</v>
      </c>
      <c r="E27" s="3">
        <f>ROUND(((D27/Watts)/(($S$9-$S$10)*1.163))*$E$14,IF($X$4=1,0,IF($X$4=2,2)))</f>
        <v>209</v>
      </c>
      <c r="F27" s="30">
        <f>($Y$24*(E27/$E$14)^$Y$26)*$F$14</f>
        <v>6.8402294226660212</v>
      </c>
      <c r="G27" s="4">
        <f>(Z27*($W$11^R27))*Watts*CF_Altit</f>
        <v>418.71899999999988</v>
      </c>
      <c r="H27" s="4">
        <f>((G27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27+0.001448)*(Tl_cool-Tavg_cold)+(0.016908*$C27-0.033574))*1.039&gt;1,1,1/(1+((2258*((0.622/(($Z$11/(1*611*EXP(17.27*(Tavg_cold/(Tavg_cold+237.3))))))-1)*1000-(0.622/(($Z$11/(RH*611*EXP(17.27*(Tl_cool/(Tl_cool+237.3))))))-1)*1000))/(1005*(Tavg_cold-Tl_cool))))*1.039+((-0.000729*$C27+0.001448)*(Tl_cool-Tavg_cold)+(0.016908*$C27-0.033574))*1.039))))*Watts</f>
        <v>418.71899999999988</v>
      </c>
      <c r="I27" s="3">
        <f>ROUND(((H27/Watts)/((Tr_cool-Tv_cool)*1.163))*$I$14,IF($X$4=1,0,IF($X$4=2,2)))</f>
        <v>180</v>
      </c>
      <c r="J27" s="5">
        <f>($AA$24*(I27/$I$14)^$AA$26)*$J$14</f>
        <v>5.2092154213954833</v>
      </c>
      <c r="K27" s="59">
        <f>L27-8</f>
        <v>37</v>
      </c>
      <c r="L27" s="53">
        <f t="shared" si="9"/>
        <v>45</v>
      </c>
      <c r="M27" s="46">
        <f t="shared" si="9"/>
        <v>7.1</v>
      </c>
      <c r="N27" s="64">
        <f>AD27*Cubics</f>
        <v>160</v>
      </c>
      <c r="O27" s="248">
        <f>((($D27/Watts)/(((p_atm*0.028964)/(8.31447*(20+273.15)))*(($N27/3600)/Cubics)*(1005+1870*((0.622)/(((p_atm)/($E$12*Pvs_Heat_in))-1)))))+Tl_heat)*Celc1+Celc2</f>
        <v>64.638656437521206</v>
      </c>
      <c r="P27" s="249">
        <f>(Tl_cool-(($G27/Watts)/(1006*$N27*kgss)))*Celc1+Celc2</f>
        <v>19.221771117481151</v>
      </c>
      <c r="Q27" s="215">
        <v>1</v>
      </c>
      <c r="R27" s="113">
        <v>0.9</v>
      </c>
      <c r="S27" s="271"/>
      <c r="U27" s="272"/>
      <c r="V27" s="273"/>
      <c r="W27" s="173">
        <f>(H27-G27)/H27</f>
        <v>0</v>
      </c>
      <c r="X27" s="127">
        <f t="shared" si="1"/>
        <v>2433.1860000000001</v>
      </c>
      <c r="Y27" s="140">
        <f t="shared" si="2"/>
        <v>0</v>
      </c>
      <c r="Z27" s="129">
        <f t="shared" si="3"/>
        <v>418.71899999999988</v>
      </c>
      <c r="AA27" s="140">
        <f t="shared" si="4"/>
        <v>0</v>
      </c>
      <c r="AB27" s="129">
        <f t="shared" si="5"/>
        <v>45</v>
      </c>
      <c r="AC27" s="129">
        <f t="shared" si="6"/>
        <v>7.1</v>
      </c>
      <c r="AD27" s="129">
        <f t="shared" si="7"/>
        <v>160</v>
      </c>
      <c r="AE27" s="121">
        <v>2433.1860000000001</v>
      </c>
      <c r="AF27" s="128"/>
      <c r="AG27" s="130">
        <v>418.71899999999988</v>
      </c>
      <c r="AH27" s="128"/>
      <c r="AI27" s="130">
        <v>45</v>
      </c>
      <c r="AJ27" s="130">
        <v>7.1</v>
      </c>
      <c r="AK27" s="131">
        <v>160</v>
      </c>
      <c r="AL27" s="129"/>
      <c r="AM27" s="127"/>
      <c r="AN27" s="128"/>
      <c r="AO27" s="129"/>
      <c r="AP27" s="128"/>
      <c r="AQ27" s="130"/>
      <c r="AR27" s="130"/>
      <c r="AS27" s="131"/>
      <c r="AT27" s="124"/>
      <c r="AU27" s="1">
        <f>(AG27*((((Tv_cool-Tr_cool)/LN((Tv_cool-Tl_cool)/(Tr_cool-Tl_cool)))/((16-18)/LN((16-27)/(18-27))))^S27))*$G$14</f>
        <v>0.14003824333333312</v>
      </c>
      <c r="AV27" s="1">
        <f>((AU27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27+0.00625)*(Tl_cool-(Tv_cool+Tr_cool)/2)-(-0.000625*$C27+0.00625)*10))))*$H$14</f>
        <v>418.71899999999988</v>
      </c>
      <c r="AW27" s="73"/>
      <c r="AX27" s="185"/>
      <c r="AY27" s="186"/>
      <c r="AZ27" s="187"/>
      <c r="BA27" s="186"/>
      <c r="BB27" s="188"/>
      <c r="BC27" s="188"/>
      <c r="BD27" s="189"/>
      <c r="BE27" s="76"/>
      <c r="BF27" s="77"/>
      <c r="BG27" s="78"/>
      <c r="BH27" s="77"/>
      <c r="BI27" s="79"/>
      <c r="BJ27" s="79"/>
      <c r="BK27" s="80"/>
      <c r="BL27" s="76"/>
      <c r="BM27" s="77"/>
      <c r="BN27" s="78"/>
      <c r="BO27" s="77"/>
      <c r="BP27" s="79"/>
      <c r="BQ27" s="79"/>
      <c r="BR27" s="80"/>
      <c r="BS27" s="73"/>
      <c r="BT27" s="76"/>
      <c r="BU27" s="77"/>
      <c r="BV27" s="78"/>
      <c r="BW27" s="77"/>
      <c r="BX27" s="79"/>
      <c r="BY27" s="79"/>
      <c r="BZ27" s="80"/>
      <c r="CA27" s="76"/>
      <c r="CB27" s="77"/>
      <c r="CC27" s="78"/>
      <c r="CD27" s="77"/>
      <c r="CE27" s="79"/>
      <c r="CF27" s="79"/>
      <c r="CG27" s="80"/>
    </row>
    <row r="28" spans="2:85" ht="18" customHeight="1" x14ac:dyDescent="0.35">
      <c r="B28" s="337" t="str">
        <f>IF($S$7=1,NL!A27,IF(cal!$S$7=2,EN!A27,IF(cal!$S$7=3,DE!A27,IF(cal!$S$7=4,FR!A27,IF(cal!$S$7=5,NR!A27,IF(cal!$S$7=6,SP!A27,IF(cal!$S$7=7,SW!A27,IF(cal!$S$7=8,TS!A27,IF(cal!$S$7=9,ExtraTaal1!A27,IF(cal!$S$7=10,ExtraTaal2!A27,IF(cal!$S$7=11,ExtraTaal3!A27,)))))))))))</f>
        <v>Freedom height 20 cm width 19 cm length 145 cm (Type 3)</v>
      </c>
      <c r="C28" s="338">
        <f>IF($S$7=1,NL!B27,IF(cal!$S$7=2,EN!B27,IF(cal!$S$7=3,DE!B27,IF(cal!$S$7=4,FR!B27,IF(cal!$S$7=5,NR!B27,IF(cal!$S$7=6,SP!B27,IF(cal!$S$7=7,SW!B27,IF(cal!$S$7=8,TS!B27,IF(cal!$S$7=9,ExtraTaal1!B27,IF(cal!$S$7=10,ExtraTaal2!B27,IF(cal!$S$7=11,ExtraTaal3!B27,)))))))))))</f>
        <v>0</v>
      </c>
      <c r="D28" s="338">
        <f>IF($S$7=1,NL!C27,IF(cal!$S$7=2,EN!C27,IF(cal!$S$7=3,DE!C27,IF(cal!$S$7=4,FR!C27,IF(cal!$S$7=5,NR!C27,IF(cal!$S$7=6,SP!C27,IF(cal!$S$7=7,SW!C27,IF(cal!$S$7=8,TS!C27,IF(cal!$S$7=9,ExtraTaal1!C27,IF(cal!$S$7=10,ExtraTaal2!C27,IF(cal!$S$7=11,ExtraTaal3!C27,)))))))))))</f>
        <v>0</v>
      </c>
      <c r="E28" s="338">
        <f>IF($S$7=1,NL!D27,IF(cal!$S$7=2,EN!D27,IF(cal!$S$7=3,DE!D27,IF(cal!$S$7=4,FR!D27,IF(cal!$S$7=5,NR!D27,IF(cal!$S$7=6,SP!D27,IF(cal!$S$7=7,SW!D27,IF(cal!$S$7=8,TS!D27,IF(cal!$S$7=9,ExtraTaal1!D27,IF(cal!$S$7=10,ExtraTaal2!D27,IF(cal!$S$7=11,ExtraTaal3!D27,)))))))))))</f>
        <v>0</v>
      </c>
      <c r="F28" s="338">
        <f>IF($S$7=1,NL!E27,IF(cal!$S$7=2,EN!E27,IF(cal!$S$7=3,DE!E27,IF(cal!$S$7=4,FR!E27,IF(cal!$S$7=5,NR!E27,IF(cal!$S$7=6,SP!E27,IF(cal!$S$7=7,SW!E27,IF(cal!$S$7=8,TS!E27,IF(cal!$S$7=9,ExtraTaal1!E27,IF(cal!$S$7=10,ExtraTaal2!E27,IF(cal!$S$7=11,ExtraTaal3!E27,)))))))))))</f>
        <v>0</v>
      </c>
      <c r="G28" s="338">
        <f>IF($S$7=1,NL!F27,IF(cal!$S$7=2,EN!F27,IF(cal!$S$7=3,DE!F27,IF(cal!$S$7=4,FR!F27,IF(cal!$S$7=5,NR!F27,IF(cal!$S$7=6,SP!F27,IF(cal!$S$7=7,SW!F27,IF(cal!$S$7=8,TS!F27,IF(cal!$S$7=9,ExtraTaal1!F27,IF(cal!$S$7=10,ExtraTaal2!F27,IF(cal!$S$7=11,ExtraTaal3!F27,)))))))))))</f>
        <v>0</v>
      </c>
      <c r="H28" s="338">
        <f>IF($S$7=1,NL!G27,IF(cal!$S$7=2,EN!G27,IF(cal!$S$7=3,DE!G27,IF(cal!$S$7=4,FR!G27,IF(cal!$S$7=5,NR!G27,IF(cal!$S$7=6,SP!G27,IF(cal!$S$7=7,SW!G27,IF(cal!$S$7=8,TS!G27,IF(cal!$S$7=9,ExtraTaal1!G27,IF(cal!$S$7=10,ExtraTaal2!G27,IF(cal!$S$7=11,ExtraTaal3!G27,)))))))))))</f>
        <v>0</v>
      </c>
      <c r="I28" s="338">
        <f>IF($S$7=1,NL!H27,IF(cal!$S$7=2,EN!H27,IF(cal!$S$7=3,DE!H27,IF(cal!$S$7=4,FR!H27,IF(cal!$S$7=5,NR!H27,IF(cal!$S$7=6,SP!H27,IF(cal!$S$7=7,SW!H27,IF(cal!$S$7=8,TS!H27,IF(cal!$S$7=9,ExtraTaal1!H27,IF(cal!$S$7=10,ExtraTaal2!H27,IF(cal!$S$7=11,ExtraTaal3!H27,)))))))))))</f>
        <v>0</v>
      </c>
      <c r="J28" s="338">
        <f>IF($S$7=1,NL!I27,IF(cal!$S$7=2,EN!I27,IF(cal!$S$7=3,DE!I27,IF(cal!$S$7=4,FR!I27,IF(cal!$S$7=5,NR!I27,IF(cal!$S$7=6,SP!I27,IF(cal!$S$7=7,SW!I27,IF(cal!$S$7=8,TS!I27,IF(cal!$S$7=9,ExtraTaal1!I27,IF(cal!$S$7=10,ExtraTaal2!I27,IF(cal!$S$7=11,ExtraTaal3!I27,)))))))))))</f>
        <v>0</v>
      </c>
      <c r="K28" s="338">
        <f>IF($S$7=1,NL!J27,IF(cal!$S$7=2,EN!J27,IF(cal!$S$7=3,DE!J27,IF(cal!$S$7=4,FR!J27,IF(cal!$S$7=5,NR!J27,IF(cal!$S$7=6,SP!J27,IF(cal!$S$7=7,SW!J27,IF(cal!$S$7=8,TS!J27,IF(cal!$S$7=9,ExtraTaal1!J27,IF(cal!$S$7=10,ExtraTaal2!J27,IF(cal!$S$7=11,ExtraTaal3!J27,)))))))))))</f>
        <v>0</v>
      </c>
      <c r="L28" s="338">
        <f>IF($S$7=1,NL!K27,IF(cal!$S$7=2,EN!K27,IF(cal!$S$7=3,DE!K27,IF(cal!$S$7=4,FR!K27,IF(cal!$S$7=5,NR!K27,IF(cal!$S$7=6,SP!K27,IF(cal!$S$7=7,SW!K27,IF(cal!$S$7=8,TS!K27,IF(cal!$S$7=9,ExtraTaal1!K27,IF(cal!$S$7=10,ExtraTaal2!K27,IF(cal!$S$7=11,ExtraTaal3!K27,)))))))))))</f>
        <v>0</v>
      </c>
      <c r="M28" s="338">
        <f>IF($S$7=1,NL!L27,IF(cal!$S$7=2,EN!L27,IF(cal!$S$7=3,DE!L27,IF(cal!$S$7=4,FR!L27,IF(cal!$S$7=5,NR!L27,IF(cal!$S$7=6,SP!L27,IF(cal!$S$7=7,SW!L27,IF(cal!$S$7=8,TS!L27,IF(cal!$S$7=9,ExtraTaal1!L27,IF(cal!$S$7=10,ExtraTaal2!L27,IF(cal!$S$7=11,ExtraTaal3!L27,)))))))))))</f>
        <v>0</v>
      </c>
      <c r="N28" s="338">
        <f>IF($S$7=1,NL!M27,IF(cal!$S$7=2,EN!M27,IF(cal!$S$7=3,DE!M27,IF(cal!$S$7=4,FR!M27,IF(cal!$S$7=5,NR!M27,IF(cal!$S$7=6,SP!M27,IF(cal!$S$7=7,SW!M27,IF(cal!$S$7=8,TS!M27,IF(cal!$S$7=9,ExtraTaal1!M27,IF(cal!$S$7=10,ExtraTaal2!M27,IF(cal!$S$7=11,ExtraTaal3!M27,)))))))))))</f>
        <v>0</v>
      </c>
      <c r="O28" s="338">
        <f>IF($S$7=1,NL!N27,IF(cal!$S$7=2,EN!N27,IF(cal!$S$7=3,DE!N27,IF(cal!$S$7=4,FR!N27,IF(cal!$S$7=5,NR!N27,IF(cal!$S$7=6,SP!N27,IF(cal!$S$7=7,SW!N27,IF(cal!$S$7=8,TS!N27,IF(cal!$S$7=9,ExtraTaal1!N27,IF(cal!$S$7=10,ExtraTaal2!N27,IF(cal!$S$7=11,ExtraTaal3!N27,)))))))))))</f>
        <v>0</v>
      </c>
      <c r="P28" s="339">
        <f>IF($S$7=1,NL!O27,IF(cal!$S$7=2,EN!O27,IF(cal!$S$7=3,DE!O27,IF(cal!$S$7=4,FR!O27,IF(cal!$S$7=5,NR!O27,IF(cal!$S$7=6,SP!O27,IF(cal!$S$7=7,SW!O27,IF(cal!$S$7=8,TS!O27,IF(cal!$S$7=9,ExtraTaal1!O27,IF(cal!$S$7=10,ExtraTaal2!O27,IF(cal!$S$7=11,ExtraTaal3!O27,)))))))))))</f>
        <v>0</v>
      </c>
      <c r="Q28" s="202" t="s">
        <v>11</v>
      </c>
      <c r="R28" s="113">
        <f t="shared" si="8"/>
        <v>0</v>
      </c>
      <c r="S28" s="274"/>
      <c r="T28" s="272"/>
      <c r="W28" s="173"/>
      <c r="X28" s="132" t="str">
        <f t="shared" si="1"/>
        <v>H</v>
      </c>
      <c r="Y28" s="147">
        <f t="shared" si="2"/>
        <v>20</v>
      </c>
      <c r="Z28" s="132" t="str">
        <f t="shared" si="3"/>
        <v>B</v>
      </c>
      <c r="AA28" s="147">
        <f t="shared" si="4"/>
        <v>19</v>
      </c>
      <c r="AB28" s="132" t="str">
        <f t="shared" si="5"/>
        <v>L</v>
      </c>
      <c r="AC28" s="137">
        <f t="shared" si="6"/>
        <v>110</v>
      </c>
      <c r="AD28" s="135">
        <f t="shared" si="7"/>
        <v>0</v>
      </c>
      <c r="AE28" s="121" t="s">
        <v>61</v>
      </c>
      <c r="AF28" s="133">
        <f>AF22</f>
        <v>20</v>
      </c>
      <c r="AG28" s="132" t="s">
        <v>62</v>
      </c>
      <c r="AH28" s="133">
        <f>AH22</f>
        <v>19</v>
      </c>
      <c r="AI28" s="132" t="s">
        <v>63</v>
      </c>
      <c r="AJ28" s="137">
        <v>110</v>
      </c>
      <c r="AK28" s="135"/>
      <c r="AL28" s="135"/>
      <c r="AM28" s="132"/>
      <c r="AN28" s="133"/>
      <c r="AO28" s="132"/>
      <c r="AP28" s="133"/>
      <c r="AQ28" s="132"/>
      <c r="AR28" s="136"/>
      <c r="AS28" s="135"/>
      <c r="AT28" s="141"/>
      <c r="AU28" s="1"/>
      <c r="AV28" s="1"/>
      <c r="AW28" s="86"/>
      <c r="AX28" s="190"/>
      <c r="AY28" s="191"/>
      <c r="AZ28" s="190"/>
      <c r="BA28" s="191"/>
      <c r="BB28" s="190"/>
      <c r="BC28" s="191"/>
      <c r="BD28" s="192"/>
      <c r="BE28" s="83"/>
      <c r="BF28" s="84"/>
      <c r="BG28" s="83"/>
      <c r="BH28" s="84"/>
      <c r="BI28" s="83"/>
      <c r="BJ28" s="84"/>
      <c r="BK28" s="82"/>
      <c r="BL28" s="83"/>
      <c r="BM28" s="84"/>
      <c r="BN28" s="83"/>
      <c r="BO28" s="84"/>
      <c r="BP28" s="83"/>
      <c r="BQ28" s="84"/>
      <c r="BR28" s="82"/>
      <c r="BS28" s="86"/>
      <c r="BT28" s="83"/>
      <c r="BU28" s="84"/>
      <c r="BV28" s="83"/>
      <c r="BW28" s="84"/>
      <c r="BX28" s="83"/>
      <c r="BY28" s="142"/>
      <c r="BZ28" s="82"/>
      <c r="CA28" s="83"/>
      <c r="CB28" s="84"/>
      <c r="CC28" s="83"/>
      <c r="CD28" s="84"/>
      <c r="CE28" s="83"/>
      <c r="CF28" s="143"/>
      <c r="CG28" s="82"/>
    </row>
    <row r="29" spans="2:85" ht="14.5" x14ac:dyDescent="0.35">
      <c r="B29" s="33">
        <v>0.2</v>
      </c>
      <c r="C29" s="3">
        <v>2</v>
      </c>
      <c r="D29" s="27">
        <f>(X29*($T$11^$Q29))*Watts*CF_Altit</f>
        <v>939.59399999999994</v>
      </c>
      <c r="E29" s="3">
        <f>ROUND(((D29/Watts)/(($S$9-$S$10)*1.163))*$E$14,IF($X$4=1,0,IF($X$4=2,2)))</f>
        <v>81</v>
      </c>
      <c r="F29" s="30">
        <f>($Y$30*(E29/$E$14)^$Y$32)*$F$14</f>
        <v>1.6934195841714439</v>
      </c>
      <c r="G29" s="4">
        <f>(Z29*($W$11^R29))*Watts*CF_Altit</f>
        <v>101.94699999999996</v>
      </c>
      <c r="H29" s="4">
        <f>((G29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29+0.001448)*(Tl_cool-Tavg_cold)+(0.016908*$C29-0.033574))*1.039&gt;1,1,1/(1+((2258*((0.622/(($Z$11/(1*611*EXP(17.27*(Tavg_cold/(Tavg_cold+237.3))))))-1)*1000-(0.622/(($Z$11/(RH*611*EXP(17.27*(Tl_cool/(Tl_cool+237.3))))))-1)*1000))/(1005*(Tavg_cold-Tl_cool))))*1.039+((-0.000729*$C29+0.001448)*(Tl_cool-Tavg_cold)+(0.016908*$C29-0.033574))*1.039))))*Watts</f>
        <v>101.94699999999996</v>
      </c>
      <c r="I29" s="3">
        <f>ROUND(((H29/Watts)/((Tr_cool-Tv_cool)*1.163))*$I$14,IF($X$4=1,0,IF($X$4=2,2)))</f>
        <v>44</v>
      </c>
      <c r="J29" s="5">
        <f>($AA$30*(I29/$I$14)^$AA$32)*$J$14</f>
        <v>0.55651127957010016</v>
      </c>
      <c r="K29" s="59">
        <f>L29-8</f>
        <v>16</v>
      </c>
      <c r="L29" s="53">
        <f t="shared" ref="L29:M33" si="10">AB29</f>
        <v>24</v>
      </c>
      <c r="M29" s="46">
        <f t="shared" si="10"/>
        <v>1.1000000000000001</v>
      </c>
      <c r="N29" s="64">
        <f>AD29*Cubics</f>
        <v>66</v>
      </c>
      <c r="O29" s="246">
        <f>((($D29/Watts)/(((p_atm*0.028964)/(8.31447*(20+273.15)))*(($N29/3600)/Cubics)*(1005+1870*((0.622)/(((p_atm)/($E$12*Pvs_Heat_in))-1)))))+Tl_heat)*Celc1+Celc2</f>
        <v>61.788048244471582</v>
      </c>
      <c r="P29" s="247">
        <f>(Tl_cool-(($G29/Watts)/(1006*$N29*kgss)))*Celc1+Celc2</f>
        <v>22.408986731979006</v>
      </c>
      <c r="Q29" s="215">
        <v>1</v>
      </c>
      <c r="R29" s="113">
        <v>0.9</v>
      </c>
      <c r="S29" s="271"/>
      <c r="T29" s="272"/>
      <c r="U29" s="272"/>
      <c r="V29" s="273"/>
      <c r="W29" s="173">
        <f>(H29-G29)/H29</f>
        <v>0</v>
      </c>
      <c r="X29" s="118">
        <f t="shared" si="1"/>
        <v>939.59399999999994</v>
      </c>
      <c r="Y29" s="119" t="str">
        <f t="shared" si="2"/>
        <v>a</v>
      </c>
      <c r="Z29" s="120">
        <f t="shared" si="3"/>
        <v>101.94699999999996</v>
      </c>
      <c r="AA29" s="119" t="str">
        <f t="shared" si="4"/>
        <v>a</v>
      </c>
      <c r="AB29" s="120">
        <f t="shared" si="5"/>
        <v>24</v>
      </c>
      <c r="AC29" s="120">
        <f t="shared" si="6"/>
        <v>1.1000000000000001</v>
      </c>
      <c r="AD29" s="120">
        <f t="shared" si="7"/>
        <v>66</v>
      </c>
      <c r="AE29" s="121">
        <v>939.59399999999994</v>
      </c>
      <c r="AF29" s="119" t="s">
        <v>49</v>
      </c>
      <c r="AG29" s="121">
        <v>101.94699999999996</v>
      </c>
      <c r="AH29" s="119" t="s">
        <v>49</v>
      </c>
      <c r="AI29" s="121">
        <v>24</v>
      </c>
      <c r="AJ29" s="121">
        <v>1.1000000000000001</v>
      </c>
      <c r="AK29" s="122">
        <v>66</v>
      </c>
      <c r="AL29" s="120"/>
      <c r="AM29" s="118"/>
      <c r="AN29" s="119"/>
      <c r="AO29" s="120"/>
      <c r="AP29" s="119"/>
      <c r="AQ29" s="121"/>
      <c r="AR29" s="121"/>
      <c r="AS29" s="122"/>
      <c r="AT29" s="124"/>
      <c r="AU29" s="1">
        <f>(AG29*((((Tv_cool-Tr_cool)/LN((Tv_cool-Tl_cool)/(Tr_cool-Tl_cool)))/((16-18)/LN((16-27)/(18-27))))^S29))*$G$14</f>
        <v>3.4095607777777717E-2</v>
      </c>
      <c r="AV29" s="1">
        <f>((AU29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29+0.00625)*(Tl_cool-(Tv_cool+Tr_cool)/2)-(-0.000625*$C29+0.00625)*10))))*$H$14</f>
        <v>101.94699999999995</v>
      </c>
      <c r="AW29" s="73"/>
      <c r="AX29" s="176"/>
      <c r="AY29" s="177"/>
      <c r="AZ29" s="178"/>
      <c r="BA29" s="177"/>
      <c r="BB29" s="179"/>
      <c r="BC29" s="179"/>
      <c r="BD29" s="180"/>
      <c r="BE29" s="67"/>
      <c r="BF29" s="68"/>
      <c r="BG29" s="69"/>
      <c r="BH29" s="68"/>
      <c r="BI29" s="70"/>
      <c r="BJ29" s="70"/>
      <c r="BK29" s="71"/>
      <c r="BL29" s="67"/>
      <c r="BM29" s="68"/>
      <c r="BN29" s="69"/>
      <c r="BO29" s="68"/>
      <c r="BP29" s="70"/>
      <c r="BQ29" s="70"/>
      <c r="BR29" s="71"/>
      <c r="BS29" s="73"/>
      <c r="BT29" s="67"/>
      <c r="BU29" s="68"/>
      <c r="BV29" s="69"/>
      <c r="BW29" s="68"/>
      <c r="BX29" s="70"/>
      <c r="BY29" s="70"/>
      <c r="BZ29" s="71"/>
      <c r="CA29" s="67"/>
      <c r="CB29" s="68"/>
      <c r="CC29" s="69"/>
      <c r="CD29" s="68"/>
      <c r="CE29" s="70"/>
      <c r="CF29" s="70"/>
      <c r="CG29" s="71"/>
    </row>
    <row r="30" spans="2:85" ht="14.5" x14ac:dyDescent="0.35">
      <c r="B30" s="33">
        <v>0.4</v>
      </c>
      <c r="C30" s="3">
        <v>4</v>
      </c>
      <c r="D30" s="27">
        <f>(X30*($T$11^$Q30))*Watts*CF_Altit</f>
        <v>1686.8549999999998</v>
      </c>
      <c r="E30" s="3">
        <f>ROUND(((D30/Watts)/(($S$9-$S$10)*1.163))*$E$14,IF($X$4=1,0,IF($X$4=2,2)))</f>
        <v>145</v>
      </c>
      <c r="F30" s="30">
        <f>($Y$30*(E30/$E$14)^$Y$32)*$F$14</f>
        <v>4.8966677742137579</v>
      </c>
      <c r="G30" s="4">
        <f>(Z30*($W$11^R30))*Watts*CF_Altit</f>
        <v>222.81199999999993</v>
      </c>
      <c r="H30" s="4">
        <f>((G30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30+0.001448)*(Tl_cool-Tavg_cold)+(0.016908*$C30-0.033574))*1.039&gt;1,1,1/(1+((2258*((0.622/(($Z$11/(1*611*EXP(17.27*(Tavg_cold/(Tavg_cold+237.3))))))-1)*1000-(0.622/(($Z$11/(RH*611*EXP(17.27*(Tl_cool/(Tl_cool+237.3))))))-1)*1000))/(1005*(Tavg_cold-Tl_cool))))*1.039+((-0.000729*$C30+0.001448)*(Tl_cool-Tavg_cold)+(0.016908*$C30-0.033574))*1.039))))*Watts</f>
        <v>222.81199999999993</v>
      </c>
      <c r="I30" s="3">
        <f>ROUND(((H30/Watts)/((Tr_cool-Tv_cool)*1.163))*$I$14,IF($X$4=1,0,IF($X$4=2,2)))</f>
        <v>96</v>
      </c>
      <c r="J30" s="5">
        <f>($AA$30*(I30/$I$14)^$AA$32)*$J$14</f>
        <v>2.3084203249560846</v>
      </c>
      <c r="K30" s="59">
        <f>L30-8</f>
        <v>20</v>
      </c>
      <c r="L30" s="53">
        <f t="shared" si="10"/>
        <v>28</v>
      </c>
      <c r="M30" s="46">
        <f t="shared" si="10"/>
        <v>2.1</v>
      </c>
      <c r="N30" s="64">
        <f>AD30*Cubics</f>
        <v>112</v>
      </c>
      <c r="O30" s="248">
        <f>((($D30/Watts)/(((p_atm*0.028964)/(8.31447*(20+273.15)))*(($N30/3600)/Cubics)*(1005+1870*((0.622)/(((p_atm)/($E$12*Pvs_Heat_in))-1)))))+Tl_heat)*Celc1+Celc2</f>
        <v>64.209491356432522</v>
      </c>
      <c r="P30" s="249">
        <f>(Tl_cool-(($G30/Watts)/(1006*$N30*kgss)))*Celc1+Celc2</f>
        <v>21.087126505324949</v>
      </c>
      <c r="Q30" s="215">
        <v>1</v>
      </c>
      <c r="R30" s="113">
        <v>0.9</v>
      </c>
      <c r="S30" s="271"/>
      <c r="T30" s="272"/>
      <c r="U30" s="272"/>
      <c r="V30" s="273"/>
      <c r="W30" s="173">
        <f>(H30-G30)/H30</f>
        <v>0</v>
      </c>
      <c r="X30" s="123">
        <f t="shared" si="1"/>
        <v>1686.8549999999998</v>
      </c>
      <c r="Y30" s="124">
        <f t="shared" si="2"/>
        <v>5.6054747775989447E-4</v>
      </c>
      <c r="Z30" s="124">
        <f t="shared" si="3"/>
        <v>222.81199999999993</v>
      </c>
      <c r="AA30" s="124">
        <f t="shared" si="4"/>
        <v>5.6054747775989447E-4</v>
      </c>
      <c r="AB30" s="124">
        <f t="shared" si="5"/>
        <v>28</v>
      </c>
      <c r="AC30" s="124">
        <f t="shared" si="6"/>
        <v>2.1</v>
      </c>
      <c r="AD30" s="124">
        <f t="shared" si="7"/>
        <v>112</v>
      </c>
      <c r="AE30" s="121">
        <v>1686.8549999999998</v>
      </c>
      <c r="AF30" s="124">
        <v>5.6054747775989447E-4</v>
      </c>
      <c r="AG30" s="125">
        <v>222.81199999999993</v>
      </c>
      <c r="AH30" s="124">
        <f>AF30</f>
        <v>5.6054747775989447E-4</v>
      </c>
      <c r="AI30" s="125">
        <v>28</v>
      </c>
      <c r="AJ30" s="125">
        <v>2.1</v>
      </c>
      <c r="AK30" s="126">
        <v>112</v>
      </c>
      <c r="AL30" s="124"/>
      <c r="AM30" s="123"/>
      <c r="AN30" s="124"/>
      <c r="AO30" s="124"/>
      <c r="AP30" s="124"/>
      <c r="AQ30" s="125"/>
      <c r="AR30" s="125"/>
      <c r="AS30" s="126"/>
      <c r="AT30" s="124"/>
      <c r="AU30" s="1">
        <f>(AG30*((((Tv_cool-Tr_cool)/LN((Tv_cool-Tl_cool)/(Tr_cool-Tl_cool)))/((16-18)/LN((16-27)/(18-27))))^S30))*$G$14</f>
        <v>7.4518235555555437E-2</v>
      </c>
      <c r="AV30" s="1">
        <f>((AU30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30+0.00625)*(Tl_cool-(Tv_cool+Tr_cool)/2)-(-0.000625*$C30+0.00625)*10))))*$H$14</f>
        <v>222.81199999999993</v>
      </c>
      <c r="AW30" s="73"/>
      <c r="AX30" s="181"/>
      <c r="AY30" s="182"/>
      <c r="AZ30" s="182"/>
      <c r="BA30" s="267"/>
      <c r="BB30" s="183"/>
      <c r="BC30" s="183"/>
      <c r="BD30" s="184"/>
      <c r="BE30" s="72"/>
      <c r="BF30" s="73"/>
      <c r="BG30" s="73"/>
      <c r="BH30" s="73"/>
      <c r="BI30" s="74"/>
      <c r="BJ30" s="74"/>
      <c r="BK30" s="75"/>
      <c r="BL30" s="72"/>
      <c r="BM30" s="73"/>
      <c r="BN30" s="73"/>
      <c r="BO30" s="73"/>
      <c r="BP30" s="74"/>
      <c r="BQ30" s="74"/>
      <c r="BR30" s="75"/>
      <c r="BS30" s="73"/>
      <c r="BT30" s="72"/>
      <c r="BU30" s="73"/>
      <c r="BV30" s="73"/>
      <c r="BW30" s="73"/>
      <c r="BX30" s="74"/>
      <c r="BY30" s="74"/>
      <c r="BZ30" s="75"/>
      <c r="CA30" s="72"/>
      <c r="CB30" s="73"/>
      <c r="CC30" s="73"/>
      <c r="CD30" s="73"/>
      <c r="CE30" s="74"/>
      <c r="CF30" s="74"/>
      <c r="CG30" s="75"/>
    </row>
    <row r="31" spans="2:85" ht="14.5" x14ac:dyDescent="0.35">
      <c r="B31" s="33">
        <v>0.6</v>
      </c>
      <c r="C31" s="3">
        <v>6</v>
      </c>
      <c r="D31" s="27">
        <f>(X31*($T$11^$Q31))*Watts*CF_Altit</f>
        <v>2375.2599999999998</v>
      </c>
      <c r="E31" s="3">
        <f>ROUND(((D31/Watts)/(($S$9-$S$10)*1.163))*$E$14,IF($X$4=1,0,IF($X$4=2,2)))</f>
        <v>204</v>
      </c>
      <c r="F31" s="30">
        <f>($Y$30*(E31/$E$14)^$Y$32)*$F$14</f>
        <v>9.1255491420253509</v>
      </c>
      <c r="G31" s="4">
        <f>(Z31*($W$11^R31))*Watts*CF_Altit</f>
        <v>353.13599999999991</v>
      </c>
      <c r="H31" s="4">
        <f>((G31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31+0.001448)*(Tl_cool-Tavg_cold)+(0.016908*$C31-0.033574))*1.039&gt;1,1,1/(1+((2258*((0.622/(($Z$11/(1*611*EXP(17.27*(Tavg_cold/(Tavg_cold+237.3))))))-1)*1000-(0.622/(($Z$11/(RH*611*EXP(17.27*(Tl_cool/(Tl_cool+237.3))))))-1)*1000))/(1005*(Tavg_cold-Tl_cool))))*1.039+((-0.000729*$C31+0.001448)*(Tl_cool-Tavg_cold)+(0.016908*$C31-0.033574))*1.039))))*Watts</f>
        <v>353.13599999999991</v>
      </c>
      <c r="I31" s="3">
        <f>ROUND(((H31/Watts)/((Tr_cool-Tv_cool)*1.163))*$I$14,IF($X$4=1,0,IF($X$4=2,2)))</f>
        <v>152</v>
      </c>
      <c r="J31" s="5">
        <f>($AA$30*(I31/$I$14)^$AA$32)*$J$14</f>
        <v>5.3362748341298465</v>
      </c>
      <c r="K31" s="59">
        <f>L31-8</f>
        <v>30</v>
      </c>
      <c r="L31" s="53">
        <f t="shared" si="10"/>
        <v>38</v>
      </c>
      <c r="M31" s="46">
        <f t="shared" si="10"/>
        <v>4</v>
      </c>
      <c r="N31" s="64">
        <f>AD31*Cubics</f>
        <v>150</v>
      </c>
      <c r="O31" s="248">
        <f>((($D31/Watts)/(((p_atm*0.028964)/(8.31447*(20+273.15)))*(($N31/3600)/Cubics)*(1005+1870*((0.622)/(((p_atm)/($E$12*Pvs_Heat_in))-1)))))+Tl_heat)*Celc1+Celc2</f>
        <v>66.481023684902183</v>
      </c>
      <c r="P31" s="249">
        <f>(Tl_cool-(($G31/Watts)/(1006*$N31*kgss)))*Celc1+Celc2</f>
        <v>20.002727819131714</v>
      </c>
      <c r="Q31" s="215">
        <v>1</v>
      </c>
      <c r="R31" s="113">
        <v>0.9</v>
      </c>
      <c r="S31" s="271"/>
      <c r="T31" s="272"/>
      <c r="U31" s="272"/>
      <c r="V31" s="273"/>
      <c r="W31" s="173">
        <f>(H31-G31)/H31</f>
        <v>0</v>
      </c>
      <c r="X31" s="123">
        <f t="shared" si="1"/>
        <v>2375.2599999999998</v>
      </c>
      <c r="Y31" s="119" t="str">
        <f t="shared" si="2"/>
        <v>b</v>
      </c>
      <c r="Z31" s="124">
        <f t="shared" si="3"/>
        <v>353.13599999999991</v>
      </c>
      <c r="AA31" s="119" t="str">
        <f t="shared" si="4"/>
        <v>b</v>
      </c>
      <c r="AB31" s="124">
        <f t="shared" si="5"/>
        <v>38</v>
      </c>
      <c r="AC31" s="124">
        <f t="shared" si="6"/>
        <v>4</v>
      </c>
      <c r="AD31" s="124">
        <f t="shared" si="7"/>
        <v>150</v>
      </c>
      <c r="AE31" s="121">
        <v>2375.2599999999998</v>
      </c>
      <c r="AF31" s="119" t="s">
        <v>50</v>
      </c>
      <c r="AG31" s="125">
        <v>353.13599999999991</v>
      </c>
      <c r="AH31" s="119" t="s">
        <v>50</v>
      </c>
      <c r="AI31" s="125">
        <v>38</v>
      </c>
      <c r="AJ31" s="125">
        <v>4</v>
      </c>
      <c r="AK31" s="126">
        <v>150</v>
      </c>
      <c r="AL31" s="124"/>
      <c r="AM31" s="123"/>
      <c r="AN31" s="119"/>
      <c r="AO31" s="124"/>
      <c r="AP31" s="119"/>
      <c r="AQ31" s="125"/>
      <c r="AR31" s="125"/>
      <c r="AS31" s="126"/>
      <c r="AT31" s="124"/>
      <c r="AU31" s="1">
        <f>(AG31*((((Tv_cool-Tr_cool)/LN((Tv_cool-Tl_cool)/(Tr_cool-Tl_cool)))/((16-18)/LN((16-27)/(18-27))))^S31))*$G$14</f>
        <v>0.11810437333333315</v>
      </c>
      <c r="AV31" s="1">
        <f>((AU31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31+0.00625)*(Tl_cool-(Tv_cool+Tr_cool)/2)-(-0.000625*$C31+0.00625)*10))))*$H$14</f>
        <v>353.13599999999991</v>
      </c>
      <c r="AW31" s="73"/>
      <c r="AX31" s="181"/>
      <c r="AY31" s="177"/>
      <c r="AZ31" s="182"/>
      <c r="BA31" s="177"/>
      <c r="BB31" s="183"/>
      <c r="BC31" s="183"/>
      <c r="BD31" s="184"/>
      <c r="BE31" s="72"/>
      <c r="BF31" s="68"/>
      <c r="BG31" s="73"/>
      <c r="BH31" s="68"/>
      <c r="BI31" s="74"/>
      <c r="BJ31" s="74"/>
      <c r="BK31" s="75"/>
      <c r="BL31" s="72"/>
      <c r="BM31" s="68"/>
      <c r="BN31" s="73"/>
      <c r="BO31" s="68"/>
      <c r="BP31" s="74"/>
      <c r="BQ31" s="74"/>
      <c r="BR31" s="75"/>
      <c r="BS31" s="73"/>
      <c r="BT31" s="72"/>
      <c r="BU31" s="68"/>
      <c r="BV31" s="73"/>
      <c r="BW31" s="68"/>
      <c r="BX31" s="74"/>
      <c r="BY31" s="74"/>
      <c r="BZ31" s="75"/>
      <c r="CA31" s="72"/>
      <c r="CB31" s="68"/>
      <c r="CC31" s="73"/>
      <c r="CD31" s="68"/>
      <c r="CE31" s="74"/>
      <c r="CF31" s="74"/>
      <c r="CG31" s="75"/>
    </row>
    <row r="32" spans="2:85" ht="14.5" x14ac:dyDescent="0.35">
      <c r="B32" s="33">
        <v>0.8</v>
      </c>
      <c r="C32" s="3">
        <v>8</v>
      </c>
      <c r="D32" s="27">
        <f>(X32*($T$11^$Q32))*Watts*CF_Altit</f>
        <v>3027.9309999999996</v>
      </c>
      <c r="E32" s="3">
        <f>ROUND(((D32/Watts)/(($S$9-$S$10)*1.163))*$E$14,IF($X$4=1,0,IF($X$4=2,2)))</f>
        <v>260</v>
      </c>
      <c r="F32" s="30">
        <f>($Y$30*(E32/$E$14)^$Y$32)*$F$14</f>
        <v>14.202144910847871</v>
      </c>
      <c r="G32" s="4">
        <f>(Z32*($W$11^R32))*Watts*CF_Altit</f>
        <v>488.7149999999998</v>
      </c>
      <c r="H32" s="4">
        <f>((G32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32+0.001448)*(Tl_cool-Tavg_cold)+(0.016908*$C32-0.033574))*1.039&gt;1,1,1/(1+((2258*((0.622/(($Z$11/(1*611*EXP(17.27*(Tavg_cold/(Tavg_cold+237.3))))))-1)*1000-(0.622/(($Z$11/(RH*611*EXP(17.27*(Tl_cool/(Tl_cool+237.3))))))-1)*1000))/(1005*(Tavg_cold-Tl_cool))))*1.039+((-0.000729*$C32+0.001448)*(Tl_cool-Tavg_cold)+(0.016908*$C32-0.033574))*1.039))))*Watts</f>
        <v>488.7149999999998</v>
      </c>
      <c r="I32" s="3">
        <f>ROUND(((H32/Watts)/((Tr_cool-Tv_cool)*1.163))*$I$14,IF($X$4=1,0,IF($X$4=2,2)))</f>
        <v>210</v>
      </c>
      <c r="J32" s="5">
        <f>($AA$30*(I32/$I$14)^$AA$32)*$J$14</f>
        <v>9.6208950689407811</v>
      </c>
      <c r="K32" s="59">
        <f>L32-8</f>
        <v>35</v>
      </c>
      <c r="L32" s="53">
        <f t="shared" si="10"/>
        <v>43</v>
      </c>
      <c r="M32" s="46">
        <f t="shared" si="10"/>
        <v>6.6</v>
      </c>
      <c r="N32" s="64">
        <f>AD32*Cubics</f>
        <v>193</v>
      </c>
      <c r="O32" s="248">
        <f>((($D32/Watts)/(((p_atm*0.028964)/(8.31447*(20+273.15)))*(($N32/3600)/Cubics)*(1005+1870*((0.622)/(((p_atm)/($E$12*Pvs_Heat_in))-1)))))+Tl_heat)*Celc1+Celc2</f>
        <v>66.051571336215503</v>
      </c>
      <c r="P32" s="249">
        <f>(Tl_cool-(($G32/Watts)/(1006*$N32*kgss)))*Celc1+Celc2</f>
        <v>19.47378894313529</v>
      </c>
      <c r="Q32" s="215">
        <v>1</v>
      </c>
      <c r="R32" s="113">
        <v>0.9</v>
      </c>
      <c r="S32" s="271"/>
      <c r="U32" s="272"/>
      <c r="V32" s="273"/>
      <c r="W32" s="173">
        <f>(H32-G32)/H32</f>
        <v>0</v>
      </c>
      <c r="X32" s="123">
        <f t="shared" si="1"/>
        <v>3027.9309999999996</v>
      </c>
      <c r="Y32" s="124">
        <f t="shared" si="2"/>
        <v>1.8235155847906248</v>
      </c>
      <c r="Z32" s="124">
        <f t="shared" si="3"/>
        <v>488.7149999999998</v>
      </c>
      <c r="AA32" s="124">
        <f t="shared" si="4"/>
        <v>1.8235155847906248</v>
      </c>
      <c r="AB32" s="124">
        <f t="shared" si="5"/>
        <v>43</v>
      </c>
      <c r="AC32" s="124">
        <f t="shared" si="6"/>
        <v>6.6</v>
      </c>
      <c r="AD32" s="124">
        <f t="shared" si="7"/>
        <v>193</v>
      </c>
      <c r="AE32" s="121">
        <v>3027.9309999999996</v>
      </c>
      <c r="AF32" s="124">
        <v>1.8235155847906248</v>
      </c>
      <c r="AG32" s="125">
        <v>488.7149999999998</v>
      </c>
      <c r="AH32" s="124">
        <f>AF32</f>
        <v>1.8235155847906248</v>
      </c>
      <c r="AI32" s="125">
        <v>43</v>
      </c>
      <c r="AJ32" s="125">
        <v>6.6</v>
      </c>
      <c r="AK32" s="126">
        <v>193</v>
      </c>
      <c r="AL32" s="124"/>
      <c r="AM32" s="123"/>
      <c r="AN32" s="124"/>
      <c r="AO32" s="124"/>
      <c r="AP32" s="124"/>
      <c r="AQ32" s="125"/>
      <c r="AR32" s="125"/>
      <c r="AS32" s="126"/>
      <c r="AT32" s="124"/>
      <c r="AU32" s="1">
        <f>(AG32*((((Tv_cool-Tr_cool)/LN((Tv_cool-Tl_cool)/(Tr_cool-Tl_cool)))/((16-18)/LN((16-27)/(18-27))))^S32))*$G$14</f>
        <v>0.16344801666666639</v>
      </c>
      <c r="AV32" s="1">
        <f>((AU32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32+0.00625)*(Tl_cool-(Tv_cool+Tr_cool)/2)-(-0.000625*$C32+0.00625)*10))))*$H$14</f>
        <v>488.7149999999998</v>
      </c>
      <c r="AW32" s="73"/>
      <c r="AX32" s="181"/>
      <c r="AY32" s="182"/>
      <c r="AZ32" s="182"/>
      <c r="BA32" s="182"/>
      <c r="BB32" s="183"/>
      <c r="BC32" s="183"/>
      <c r="BD32" s="184"/>
      <c r="BE32" s="72"/>
      <c r="BF32" s="73"/>
      <c r="BG32" s="73"/>
      <c r="BH32" s="73"/>
      <c r="BI32" s="74"/>
      <c r="BJ32" s="74"/>
      <c r="BK32" s="75"/>
      <c r="BL32" s="72"/>
      <c r="BM32" s="73"/>
      <c r="BN32" s="73"/>
      <c r="BO32" s="73"/>
      <c r="BP32" s="74"/>
      <c r="BQ32" s="74"/>
      <c r="BR32" s="75"/>
      <c r="BS32" s="73"/>
      <c r="BT32" s="72"/>
      <c r="BU32" s="73"/>
      <c r="BV32" s="73"/>
      <c r="BW32" s="73"/>
      <c r="BX32" s="74"/>
      <c r="BY32" s="74"/>
      <c r="BZ32" s="75"/>
      <c r="CA32" s="72"/>
      <c r="CB32" s="73"/>
      <c r="CC32" s="73"/>
      <c r="CD32" s="73"/>
      <c r="CE32" s="74"/>
      <c r="CF32" s="74"/>
      <c r="CG32" s="75"/>
    </row>
    <row r="33" spans="2:85" ht="14.5" x14ac:dyDescent="0.35">
      <c r="B33" s="33">
        <v>1</v>
      </c>
      <c r="C33" s="3">
        <v>10</v>
      </c>
      <c r="D33" s="27">
        <f>(X33*($T$11^$Q33))*Watts*CF_Altit</f>
        <v>3656.4289999999996</v>
      </c>
      <c r="E33" s="3">
        <f>ROUND(((D33/Watts)/(($S$9-$S$10)*1.163))*$E$14,IF($X$4=1,0,IF($X$4=2,2)))</f>
        <v>314</v>
      </c>
      <c r="F33" s="30">
        <f>($Y$30*(E33/$E$14)^$Y$32)*$F$14</f>
        <v>20.035608188600499</v>
      </c>
      <c r="G33" s="4">
        <f>(Z33*($W$11^R33))*Watts*CF_Altit</f>
        <v>628.49799999999971</v>
      </c>
      <c r="H33" s="4">
        <f>((G33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33+0.001448)*(Tl_cool-Tavg_cold)+(0.016908*$C33-0.033574))*1.039&gt;1,1,1/(1+((2258*((0.622/(($Z$11/(1*611*EXP(17.27*(Tavg_cold/(Tavg_cold+237.3))))))-1)*1000-(0.622/(($Z$11/(RH*611*EXP(17.27*(Tl_cool/(Tl_cool+237.3))))))-1)*1000))/(1005*(Tavg_cold-Tl_cool))))*1.039+((-0.000729*$C33+0.001448)*(Tl_cool-Tavg_cold)+(0.016908*$C33-0.033574))*1.039))))*Watts</f>
        <v>628.49799999999971</v>
      </c>
      <c r="I33" s="3">
        <f>ROUND(((H33/Watts)/((Tr_cool-Tv_cool)*1.163))*$I$14,IF($X$4=1,0,IF($X$4=2,2)))</f>
        <v>270</v>
      </c>
      <c r="J33" s="5">
        <f>($AA$30*(I33/$I$14)^$AA$32)*$J$14</f>
        <v>15.213954707026911</v>
      </c>
      <c r="K33" s="59">
        <f>L33-8</f>
        <v>39</v>
      </c>
      <c r="L33" s="53">
        <f t="shared" si="10"/>
        <v>47</v>
      </c>
      <c r="M33" s="46">
        <f t="shared" si="10"/>
        <v>10.1</v>
      </c>
      <c r="N33" s="64">
        <f>AD33*Cubics</f>
        <v>239</v>
      </c>
      <c r="O33" s="248">
        <f>((($D33/Watts)/(((p_atm*0.028964)/(8.31447*(20+273.15)))*(($N33/3600)/Cubics)*(1005+1870*((0.622)/(((p_atm)/($E$12*Pvs_Heat_in))-1)))))+Tl_heat)*Celc1+Celc2</f>
        <v>64.907102251205615</v>
      </c>
      <c r="P33" s="249">
        <f>(Tl_cool-(($G33/Watts)/(1006*$N33*kgss)))*Celc1+Celc2</f>
        <v>19.184009331740821</v>
      </c>
      <c r="Q33" s="215">
        <v>1</v>
      </c>
      <c r="R33" s="113">
        <v>0.9</v>
      </c>
      <c r="S33" s="271"/>
      <c r="T33" s="272"/>
      <c r="U33" s="272"/>
      <c r="V33" s="273"/>
      <c r="W33" s="173">
        <f>(H33-G33)/H33</f>
        <v>0</v>
      </c>
      <c r="X33" s="127">
        <f t="shared" si="1"/>
        <v>3656.4289999999996</v>
      </c>
      <c r="Y33" s="140">
        <f t="shared" si="2"/>
        <v>0</v>
      </c>
      <c r="Z33" s="129">
        <f t="shared" si="3"/>
        <v>628.49799999999971</v>
      </c>
      <c r="AA33" s="140">
        <f t="shared" si="4"/>
        <v>0</v>
      </c>
      <c r="AB33" s="129">
        <f t="shared" si="5"/>
        <v>47</v>
      </c>
      <c r="AC33" s="129">
        <f t="shared" si="6"/>
        <v>10.1</v>
      </c>
      <c r="AD33" s="129">
        <f t="shared" si="7"/>
        <v>239</v>
      </c>
      <c r="AE33" s="121">
        <v>3656.4289999999996</v>
      </c>
      <c r="AF33" s="128"/>
      <c r="AG33" s="130">
        <v>628.49799999999971</v>
      </c>
      <c r="AH33" s="128"/>
      <c r="AI33" s="130">
        <v>47</v>
      </c>
      <c r="AJ33" s="130">
        <v>10.1</v>
      </c>
      <c r="AK33" s="131">
        <v>239</v>
      </c>
      <c r="AL33" s="129"/>
      <c r="AM33" s="127"/>
      <c r="AN33" s="128"/>
      <c r="AO33" s="129"/>
      <c r="AP33" s="128"/>
      <c r="AQ33" s="130"/>
      <c r="AR33" s="130"/>
      <c r="AS33" s="131"/>
      <c r="AT33" s="124"/>
      <c r="AU33" s="1">
        <f>(AG33*((((Tv_cool-Tr_cool)/LN((Tv_cool-Tl_cool)/(Tr_cool-Tl_cool)))/((16-18)/LN((16-27)/(18-27))))^S33))*$G$14</f>
        <v>0.21019766444444407</v>
      </c>
      <c r="AV33" s="1">
        <f>((AU33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33+0.00625)*(Tl_cool-(Tv_cool+Tr_cool)/2)-(-0.000625*$C33+0.00625)*10))))*$H$14</f>
        <v>628.49799999999971</v>
      </c>
      <c r="AW33" s="73"/>
      <c r="AX33" s="185"/>
      <c r="AY33" s="186"/>
      <c r="AZ33" s="187"/>
      <c r="BA33" s="186"/>
      <c r="BB33" s="188"/>
      <c r="BC33" s="188"/>
      <c r="BD33" s="189"/>
      <c r="BE33" s="76"/>
      <c r="BF33" s="77"/>
      <c r="BG33" s="78"/>
      <c r="BH33" s="77"/>
      <c r="BI33" s="79"/>
      <c r="BJ33" s="79"/>
      <c r="BK33" s="80"/>
      <c r="BL33" s="76"/>
      <c r="BM33" s="77"/>
      <c r="BN33" s="78"/>
      <c r="BO33" s="77"/>
      <c r="BP33" s="79"/>
      <c r="BQ33" s="79"/>
      <c r="BR33" s="80"/>
      <c r="BS33" s="73"/>
      <c r="BT33" s="76"/>
      <c r="BU33" s="77"/>
      <c r="BV33" s="78"/>
      <c r="BW33" s="77"/>
      <c r="BX33" s="79"/>
      <c r="BY33" s="79"/>
      <c r="BZ33" s="80"/>
      <c r="CA33" s="76"/>
      <c r="CB33" s="77"/>
      <c r="CC33" s="78"/>
      <c r="CD33" s="77"/>
      <c r="CE33" s="79"/>
      <c r="CF33" s="79"/>
      <c r="CG33" s="80"/>
    </row>
    <row r="34" spans="2:85" ht="14.5" x14ac:dyDescent="0.35">
      <c r="B34" s="337" t="str">
        <f>IF($S$7=1,NL!A33,IF(cal!$S$7=2,EN!A33,IF(cal!$S$7=3,DE!A33,IF(cal!$S$7=4,FR!A33,IF(cal!$S$7=5,NR!A33,IF(cal!$S$7=6,SP!A33,IF(cal!$S$7=7,SW!A33,IF(cal!$S$7=8,TS!A33,IF(cal!$S$7=9,ExtraTaal1!A33,IF(cal!$S$7=10,ExtraTaal2!A33,IF(cal!$S$7=11,ExtraTaal3!A33,)))))))))))</f>
        <v>Freedom height 20 cm width 19 cm length 181 cm (Type 4)</v>
      </c>
      <c r="C34" s="338">
        <f>IF($S$7=1,NL!B33,IF(cal!$S$7=2,EN!B33,IF(cal!$S$7=3,DE!B33,IF(cal!$S$7=4,FR!B33,IF(cal!$S$7=5,NR!B33,IF(cal!$S$7=6,SP!B33,IF(cal!$S$7=7,SW!B33,IF(cal!$S$7=8,TS!B33,IF(cal!$S$7=9,ExtraTaal1!B33,IF(cal!$S$7=10,ExtraTaal2!B33,IF(cal!$S$7=11,ExtraTaal3!B33,)))))))))))</f>
        <v>0</v>
      </c>
      <c r="D34" s="338">
        <f>IF($S$7=1,NL!C33,IF(cal!$S$7=2,EN!C33,IF(cal!$S$7=3,DE!C33,IF(cal!$S$7=4,FR!C33,IF(cal!$S$7=5,NR!C33,IF(cal!$S$7=6,SP!C33,IF(cal!$S$7=7,SW!C33,IF(cal!$S$7=8,TS!C33,IF(cal!$S$7=9,ExtraTaal1!C33,IF(cal!$S$7=10,ExtraTaal2!C33,IF(cal!$S$7=11,ExtraTaal3!C33,)))))))))))</f>
        <v>0</v>
      </c>
      <c r="E34" s="338">
        <f>IF($S$7=1,NL!D33,IF(cal!$S$7=2,EN!D33,IF(cal!$S$7=3,DE!D33,IF(cal!$S$7=4,FR!D33,IF(cal!$S$7=5,NR!D33,IF(cal!$S$7=6,SP!D33,IF(cal!$S$7=7,SW!D33,IF(cal!$S$7=8,TS!D33,IF(cal!$S$7=9,ExtraTaal1!D33,IF(cal!$S$7=10,ExtraTaal2!D33,IF(cal!$S$7=11,ExtraTaal3!D33,)))))))))))</f>
        <v>0</v>
      </c>
      <c r="F34" s="338">
        <f>IF($S$7=1,NL!E33,IF(cal!$S$7=2,EN!E33,IF(cal!$S$7=3,DE!E33,IF(cal!$S$7=4,FR!E33,IF(cal!$S$7=5,NR!E33,IF(cal!$S$7=6,SP!E33,IF(cal!$S$7=7,SW!E33,IF(cal!$S$7=8,TS!E33,IF(cal!$S$7=9,ExtraTaal1!E33,IF(cal!$S$7=10,ExtraTaal2!E33,IF(cal!$S$7=11,ExtraTaal3!E33,)))))))))))</f>
        <v>0</v>
      </c>
      <c r="G34" s="338">
        <f>IF($S$7=1,NL!F33,IF(cal!$S$7=2,EN!F33,IF(cal!$S$7=3,DE!F33,IF(cal!$S$7=4,FR!F33,IF(cal!$S$7=5,NR!F33,IF(cal!$S$7=6,SP!F33,IF(cal!$S$7=7,SW!F33,IF(cal!$S$7=8,TS!F33,IF(cal!$S$7=9,ExtraTaal1!F33,IF(cal!$S$7=10,ExtraTaal2!F33,IF(cal!$S$7=11,ExtraTaal3!F33,)))))))))))</f>
        <v>0</v>
      </c>
      <c r="H34" s="338">
        <f>IF($S$7=1,NL!G33,IF(cal!$S$7=2,EN!G33,IF(cal!$S$7=3,DE!G33,IF(cal!$S$7=4,FR!G33,IF(cal!$S$7=5,NR!G33,IF(cal!$S$7=6,SP!G33,IF(cal!$S$7=7,SW!G33,IF(cal!$S$7=8,TS!G33,IF(cal!$S$7=9,ExtraTaal1!G33,IF(cal!$S$7=10,ExtraTaal2!G33,IF(cal!$S$7=11,ExtraTaal3!G33,)))))))))))</f>
        <v>0</v>
      </c>
      <c r="I34" s="338">
        <f>IF($S$7=1,NL!H33,IF(cal!$S$7=2,EN!H33,IF(cal!$S$7=3,DE!H33,IF(cal!$S$7=4,FR!H33,IF(cal!$S$7=5,NR!H33,IF(cal!$S$7=6,SP!H33,IF(cal!$S$7=7,SW!H33,IF(cal!$S$7=8,TS!H33,IF(cal!$S$7=9,ExtraTaal1!H33,IF(cal!$S$7=10,ExtraTaal2!H33,IF(cal!$S$7=11,ExtraTaal3!H33,)))))))))))</f>
        <v>0</v>
      </c>
      <c r="J34" s="338">
        <f>IF($S$7=1,NL!I33,IF(cal!$S$7=2,EN!I33,IF(cal!$S$7=3,DE!I33,IF(cal!$S$7=4,FR!I33,IF(cal!$S$7=5,NR!I33,IF(cal!$S$7=6,SP!I33,IF(cal!$S$7=7,SW!I33,IF(cal!$S$7=8,TS!I33,IF(cal!$S$7=9,ExtraTaal1!I33,IF(cal!$S$7=10,ExtraTaal2!I33,IF(cal!$S$7=11,ExtraTaal3!I33,)))))))))))</f>
        <v>0</v>
      </c>
      <c r="K34" s="338">
        <f>IF($S$7=1,NL!J33,IF(cal!$S$7=2,EN!J33,IF(cal!$S$7=3,DE!J33,IF(cal!$S$7=4,FR!J33,IF(cal!$S$7=5,NR!J33,IF(cal!$S$7=6,SP!J33,IF(cal!$S$7=7,SW!J33,IF(cal!$S$7=8,TS!J33,IF(cal!$S$7=9,ExtraTaal1!J33,IF(cal!$S$7=10,ExtraTaal2!J33,IF(cal!$S$7=11,ExtraTaal3!J33,)))))))))))</f>
        <v>0</v>
      </c>
      <c r="L34" s="338">
        <f>IF($S$7=1,NL!K33,IF(cal!$S$7=2,EN!K33,IF(cal!$S$7=3,DE!K33,IF(cal!$S$7=4,FR!K33,IF(cal!$S$7=5,NR!K33,IF(cal!$S$7=6,SP!K33,IF(cal!$S$7=7,SW!K33,IF(cal!$S$7=8,TS!K33,IF(cal!$S$7=9,ExtraTaal1!K33,IF(cal!$S$7=10,ExtraTaal2!K33,IF(cal!$S$7=11,ExtraTaal3!K33,)))))))))))</f>
        <v>0</v>
      </c>
      <c r="M34" s="338">
        <f>IF($S$7=1,NL!L33,IF(cal!$S$7=2,EN!L33,IF(cal!$S$7=3,DE!L33,IF(cal!$S$7=4,FR!L33,IF(cal!$S$7=5,NR!L33,IF(cal!$S$7=6,SP!L33,IF(cal!$S$7=7,SW!L33,IF(cal!$S$7=8,TS!L33,IF(cal!$S$7=9,ExtraTaal1!L33,IF(cal!$S$7=10,ExtraTaal2!L33,IF(cal!$S$7=11,ExtraTaal3!L33,)))))))))))</f>
        <v>0</v>
      </c>
      <c r="N34" s="338">
        <f>IF($S$7=1,NL!M33,IF(cal!$S$7=2,EN!M33,IF(cal!$S$7=3,DE!M33,IF(cal!$S$7=4,FR!M33,IF(cal!$S$7=5,NR!M33,IF(cal!$S$7=6,SP!M33,IF(cal!$S$7=7,SW!M33,IF(cal!$S$7=8,TS!M33,IF(cal!$S$7=9,ExtraTaal1!M33,IF(cal!$S$7=10,ExtraTaal2!M33,IF(cal!$S$7=11,ExtraTaal3!M33,)))))))))))</f>
        <v>0</v>
      </c>
      <c r="O34" s="338">
        <f>IF($S$7=1,NL!N33,IF(cal!$S$7=2,EN!N33,IF(cal!$S$7=3,DE!N33,IF(cal!$S$7=4,FR!N33,IF(cal!$S$7=5,NR!N33,IF(cal!$S$7=6,SP!N33,IF(cal!$S$7=7,SW!N33,IF(cal!$S$7=8,TS!N33,IF(cal!$S$7=9,ExtraTaal1!N33,IF(cal!$S$7=10,ExtraTaal2!N33,IF(cal!$S$7=11,ExtraTaal3!N33,)))))))))))</f>
        <v>0</v>
      </c>
      <c r="P34" s="339">
        <f>IF($S$7=1,NL!O33,IF(cal!$S$7=2,EN!O33,IF(cal!$S$7=3,DE!O33,IF(cal!$S$7=4,FR!O33,IF(cal!$S$7=5,NR!O33,IF(cal!$S$7=6,SP!O33,IF(cal!$S$7=7,SW!O33,IF(cal!$S$7=8,TS!O33,IF(cal!$S$7=9,ExtraTaal1!O33,IF(cal!$S$7=10,ExtraTaal2!O33,IF(cal!$S$7=11,ExtraTaal3!O33,)))))))))))</f>
        <v>0</v>
      </c>
      <c r="Q34" s="202" t="s">
        <v>11</v>
      </c>
      <c r="R34" s="113">
        <f t="shared" si="8"/>
        <v>0</v>
      </c>
      <c r="S34" s="274"/>
      <c r="T34" s="272"/>
      <c r="W34" s="173"/>
      <c r="X34" s="132" t="str">
        <f t="shared" si="1"/>
        <v>H</v>
      </c>
      <c r="Y34" s="147">
        <f t="shared" si="2"/>
        <v>20</v>
      </c>
      <c r="Z34" s="132" t="str">
        <f t="shared" si="3"/>
        <v>B</v>
      </c>
      <c r="AA34" s="147">
        <f t="shared" si="4"/>
        <v>19</v>
      </c>
      <c r="AB34" s="132" t="str">
        <f t="shared" si="5"/>
        <v>L</v>
      </c>
      <c r="AC34" s="137">
        <f t="shared" si="6"/>
        <v>145</v>
      </c>
      <c r="AD34" s="135">
        <f t="shared" si="7"/>
        <v>0</v>
      </c>
      <c r="AE34" s="121" t="s">
        <v>61</v>
      </c>
      <c r="AF34" s="133">
        <f>AF28</f>
        <v>20</v>
      </c>
      <c r="AG34" s="132" t="s">
        <v>62</v>
      </c>
      <c r="AH34" s="133">
        <f>AH28</f>
        <v>19</v>
      </c>
      <c r="AI34" s="132" t="s">
        <v>63</v>
      </c>
      <c r="AJ34" s="137">
        <v>145</v>
      </c>
      <c r="AK34" s="135"/>
      <c r="AL34" s="135"/>
      <c r="AM34" s="132"/>
      <c r="AN34" s="133"/>
      <c r="AO34" s="132"/>
      <c r="AP34" s="133"/>
      <c r="AQ34" s="132"/>
      <c r="AR34" s="136"/>
      <c r="AS34" s="135"/>
      <c r="AT34" s="141"/>
      <c r="AU34" s="1"/>
      <c r="AV34" s="1"/>
      <c r="AW34" s="86"/>
      <c r="AX34" s="190"/>
      <c r="AY34" s="191"/>
      <c r="AZ34" s="190"/>
      <c r="BA34" s="191"/>
      <c r="BB34" s="190"/>
      <c r="BC34" s="191"/>
      <c r="BD34" s="192"/>
      <c r="BE34" s="83"/>
      <c r="BF34" s="84"/>
      <c r="BG34" s="83"/>
      <c r="BH34" s="84"/>
      <c r="BI34" s="83"/>
      <c r="BJ34" s="84"/>
      <c r="BK34" s="82"/>
      <c r="BL34" s="83"/>
      <c r="BM34" s="84"/>
      <c r="BN34" s="83"/>
      <c r="BO34" s="84"/>
      <c r="BP34" s="83"/>
      <c r="BQ34" s="84"/>
      <c r="BR34" s="82"/>
      <c r="BS34" s="86"/>
      <c r="BT34" s="83"/>
      <c r="BU34" s="84"/>
      <c r="BV34" s="83"/>
      <c r="BW34" s="84"/>
      <c r="BX34" s="83"/>
      <c r="BY34" s="142"/>
      <c r="BZ34" s="82"/>
      <c r="CA34" s="83"/>
      <c r="CB34" s="84"/>
      <c r="CC34" s="83"/>
      <c r="CD34" s="84"/>
      <c r="CE34" s="83"/>
      <c r="CF34" s="143"/>
      <c r="CG34" s="82"/>
    </row>
    <row r="35" spans="2:85" ht="14.5" x14ac:dyDescent="0.35">
      <c r="B35" s="33">
        <v>0.2</v>
      </c>
      <c r="C35" s="3">
        <v>2</v>
      </c>
      <c r="D35" s="27">
        <f>(X35*($T$11^$Q35))*Watts*CF_Altit</f>
        <v>1253.1320000000001</v>
      </c>
      <c r="E35" s="3">
        <f>ROUND(((D35/Watts)/(($S$9-$S$10)*1.163))*$E$14,IF($X$4=1,0,IF($X$4=2,2)))</f>
        <v>108</v>
      </c>
      <c r="F35" s="30">
        <f>($Y$36*(E35/$E$14)^$Y$38)*$F$14</f>
        <v>3.7770275170313137</v>
      </c>
      <c r="G35" s="4">
        <f>(Z35*($W$11^R35))*Watts*CF_Altit</f>
        <v>135.69599999999997</v>
      </c>
      <c r="H35" s="4">
        <f>((G35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35+0.001448)*(Tl_cool-Tavg_cold)+(0.016908*$C35-0.033574))*1.039&gt;1,1,1/(1+((2258*((0.622/(($Z$11/(1*611*EXP(17.27*(Tavg_cold/(Tavg_cold+237.3))))))-1)*1000-(0.622/(($Z$11/(RH*611*EXP(17.27*(Tl_cool/(Tl_cool+237.3))))))-1)*1000))/(1005*(Tavg_cold-Tl_cool))))*1.039+((-0.000729*$C35+0.001448)*(Tl_cool-Tavg_cold)+(0.016908*$C35-0.033574))*1.039))))*Watts</f>
        <v>135.69599999999997</v>
      </c>
      <c r="I35" s="3">
        <f>ROUND(((H35/Watts)/((Tr_cool-Tv_cool)*1.163))*$I$14,IF($X$4=1,0,IF($X$4=2,2)))</f>
        <v>58</v>
      </c>
      <c r="J35" s="5">
        <f>($AA$36*(I35/$I$14)^$AA$38)*$J$14</f>
        <v>1.215650321111023</v>
      </c>
      <c r="K35" s="59">
        <f>L35-8</f>
        <v>18</v>
      </c>
      <c r="L35" s="53">
        <f t="shared" ref="L35:M39" si="11">AB35</f>
        <v>26</v>
      </c>
      <c r="M35" s="46">
        <f t="shared" si="11"/>
        <v>1.2</v>
      </c>
      <c r="N35" s="64">
        <f>AD35*Cubics</f>
        <v>84</v>
      </c>
      <c r="O35" s="246">
        <f>((($D35/Watts)/(((p_atm*0.028964)/(8.31447*(20+273.15)))*(($N35/3600)/Cubics)*(1005+1870*((0.622)/(((p_atm)/($E$12*Pvs_Heat_in))-1)))))+Tl_heat)*Celc1+Celc2</f>
        <v>63.789836370025093</v>
      </c>
      <c r="P35" s="247">
        <f>(Tl_cool-(($G35/Watts)/(1006*$N35*kgss)))*Celc1+Celc2</f>
        <v>22.198623163722925</v>
      </c>
      <c r="Q35" s="215">
        <v>1</v>
      </c>
      <c r="R35" s="113">
        <v>0.9</v>
      </c>
      <c r="S35" s="271"/>
      <c r="T35" s="272"/>
      <c r="U35" s="272"/>
      <c r="V35" s="273"/>
      <c r="W35" s="173">
        <f>(H35-G35)/H35</f>
        <v>0</v>
      </c>
      <c r="X35" s="118">
        <f t="shared" si="1"/>
        <v>1253.1320000000001</v>
      </c>
      <c r="Y35" s="119" t="str">
        <f t="shared" si="2"/>
        <v>a</v>
      </c>
      <c r="Z35" s="120">
        <f t="shared" si="3"/>
        <v>135.69599999999997</v>
      </c>
      <c r="AA35" s="119" t="str">
        <f t="shared" si="4"/>
        <v>a</v>
      </c>
      <c r="AB35" s="120">
        <f t="shared" si="5"/>
        <v>26</v>
      </c>
      <c r="AC35" s="120">
        <f t="shared" si="6"/>
        <v>1.2</v>
      </c>
      <c r="AD35" s="120">
        <f t="shared" si="7"/>
        <v>84</v>
      </c>
      <c r="AE35" s="121">
        <v>1253.1320000000001</v>
      </c>
      <c r="AF35" s="119" t="s">
        <v>49</v>
      </c>
      <c r="AG35" s="121">
        <v>135.69599999999997</v>
      </c>
      <c r="AH35" s="119" t="s">
        <v>49</v>
      </c>
      <c r="AI35" s="121">
        <v>26</v>
      </c>
      <c r="AJ35" s="121">
        <v>1.2</v>
      </c>
      <c r="AK35" s="122">
        <v>84</v>
      </c>
      <c r="AL35" s="120"/>
      <c r="AM35" s="118"/>
      <c r="AN35" s="119"/>
      <c r="AO35" s="120"/>
      <c r="AP35" s="119"/>
      <c r="AQ35" s="121"/>
      <c r="AR35" s="121"/>
      <c r="AS35" s="122"/>
      <c r="AT35" s="124"/>
      <c r="AU35" s="1">
        <f>(AG35*((((Tv_cool-Tr_cool)/LN((Tv_cool-Tl_cool)/(Tr_cool-Tl_cool)))/((16-18)/LN((16-27)/(18-27))))^S35))*$G$14</f>
        <v>4.5382773333333265E-2</v>
      </c>
      <c r="AV35" s="1">
        <f>((AU35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35+0.00625)*(Tl_cool-(Tv_cool+Tr_cool)/2)-(-0.000625*$C35+0.00625)*10))))*$H$14</f>
        <v>135.69599999999997</v>
      </c>
      <c r="AW35" s="73"/>
      <c r="AX35" s="176"/>
      <c r="AY35" s="177"/>
      <c r="AZ35" s="178"/>
      <c r="BA35" s="177"/>
      <c r="BB35" s="179"/>
      <c r="BC35" s="179"/>
      <c r="BD35" s="180"/>
      <c r="BE35" s="67"/>
      <c r="BF35" s="68"/>
      <c r="BG35" s="69"/>
      <c r="BH35" s="68"/>
      <c r="BI35" s="70"/>
      <c r="BJ35" s="70"/>
      <c r="BK35" s="71"/>
      <c r="BL35" s="67"/>
      <c r="BM35" s="68"/>
      <c r="BN35" s="69"/>
      <c r="BO35" s="68"/>
      <c r="BP35" s="70"/>
      <c r="BQ35" s="70"/>
      <c r="BR35" s="71"/>
      <c r="BS35" s="73"/>
      <c r="BT35" s="67"/>
      <c r="BU35" s="68"/>
      <c r="BV35" s="69"/>
      <c r="BW35" s="68"/>
      <c r="BX35" s="70"/>
      <c r="BY35" s="70"/>
      <c r="BZ35" s="71"/>
      <c r="CA35" s="67"/>
      <c r="CB35" s="68"/>
      <c r="CC35" s="69"/>
      <c r="CD35" s="68"/>
      <c r="CE35" s="70"/>
      <c r="CF35" s="70"/>
      <c r="CG35" s="71"/>
    </row>
    <row r="36" spans="2:85" ht="14.5" x14ac:dyDescent="0.35">
      <c r="B36" s="33">
        <v>0.4</v>
      </c>
      <c r="C36" s="3">
        <v>4</v>
      </c>
      <c r="D36" s="27">
        <f>(X36*($T$11^$Q36))*Watts*CF_Altit</f>
        <v>2249.2640000000001</v>
      </c>
      <c r="E36" s="3">
        <f>ROUND(((D36/Watts)/(($S$9-$S$10)*1.163))*$E$14,IF($X$4=1,0,IF($X$4=2,2)))</f>
        <v>193</v>
      </c>
      <c r="F36" s="30">
        <f>($Y$36*(E36/$E$14)^$Y$38)*$F$14</f>
        <v>10.88728553624024</v>
      </c>
      <c r="G36" s="4">
        <f>(Z36*($W$11^R36))*Watts*CF_Altit</f>
        <v>298.11999999999995</v>
      </c>
      <c r="H36" s="4">
        <f>((G36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36+0.001448)*(Tl_cool-Tavg_cold)+(0.016908*$C36-0.033574))*1.039&gt;1,1,1/(1+((2258*((0.622/(($Z$11/(1*611*EXP(17.27*(Tavg_cold/(Tavg_cold+237.3))))))-1)*1000-(0.622/(($Z$11/(RH*611*EXP(17.27*(Tl_cool/(Tl_cool+237.3))))))-1)*1000))/(1005*(Tavg_cold-Tl_cool))))*1.039+((-0.000729*$C36+0.001448)*(Tl_cool-Tavg_cold)+(0.016908*$C36-0.033574))*1.039))))*Watts</f>
        <v>298.11999999999995</v>
      </c>
      <c r="I36" s="3">
        <f>ROUND(((H36/Watts)/((Tr_cool-Tv_cool)*1.163))*$I$14,IF($X$4=1,0,IF($X$4=2,2)))</f>
        <v>128</v>
      </c>
      <c r="J36" s="5">
        <f>($AA$36*(I36/$I$14)^$AA$38)*$J$14</f>
        <v>5.1487340584285928</v>
      </c>
      <c r="K36" s="59">
        <f>L36-8</f>
        <v>22</v>
      </c>
      <c r="L36" s="53">
        <f t="shared" si="11"/>
        <v>30</v>
      </c>
      <c r="M36" s="46">
        <f t="shared" si="11"/>
        <v>2.5</v>
      </c>
      <c r="N36" s="64">
        <f>AD36*Cubics</f>
        <v>150</v>
      </c>
      <c r="O36" s="248">
        <f>((($D36/Watts)/(((p_atm*0.028964)/(8.31447*(20+273.15)))*(($N36/3600)/Cubics)*(1005+1870*((0.622)/(((p_atm)/($E$12*Pvs_Heat_in))-1)))))+Tl_heat)*Celc1+Celc2</f>
        <v>64.015431261250484</v>
      </c>
      <c r="P36" s="249">
        <f>(Tl_cool-(($G36/Watts)/(1006*$N36*kgss)))*Celc1+Celc2</f>
        <v>21.092851528701537</v>
      </c>
      <c r="Q36" s="215">
        <v>1</v>
      </c>
      <c r="R36" s="113">
        <v>0.9</v>
      </c>
      <c r="S36" s="271"/>
      <c r="T36" s="272"/>
      <c r="U36" s="272"/>
      <c r="V36" s="273"/>
      <c r="W36" s="173">
        <f>(H36-G36)/H36</f>
        <v>0</v>
      </c>
      <c r="X36" s="123">
        <f t="shared" si="1"/>
        <v>2249.2640000000001</v>
      </c>
      <c r="Y36" s="124">
        <f t="shared" si="2"/>
        <v>7.3989525167788965E-4</v>
      </c>
      <c r="Z36" s="124">
        <f t="shared" si="3"/>
        <v>298.11999999999995</v>
      </c>
      <c r="AA36" s="124">
        <f t="shared" si="4"/>
        <v>7.3989525167788965E-4</v>
      </c>
      <c r="AB36" s="124">
        <f t="shared" si="5"/>
        <v>30</v>
      </c>
      <c r="AC36" s="124">
        <f t="shared" si="6"/>
        <v>2.5</v>
      </c>
      <c r="AD36" s="124">
        <f t="shared" si="7"/>
        <v>150</v>
      </c>
      <c r="AE36" s="121">
        <v>2249.2640000000001</v>
      </c>
      <c r="AF36" s="124">
        <v>7.3989525167788965E-4</v>
      </c>
      <c r="AG36" s="125">
        <v>298.11999999999995</v>
      </c>
      <c r="AH36" s="124">
        <f>AF36</f>
        <v>7.3989525167788965E-4</v>
      </c>
      <c r="AI36" s="125">
        <v>30</v>
      </c>
      <c r="AJ36" s="125">
        <v>2.5</v>
      </c>
      <c r="AK36" s="126">
        <v>150</v>
      </c>
      <c r="AL36" s="124"/>
      <c r="AM36" s="123"/>
      <c r="AN36" s="124"/>
      <c r="AO36" s="124"/>
      <c r="AP36" s="124"/>
      <c r="AQ36" s="125"/>
      <c r="AR36" s="125"/>
      <c r="AS36" s="126"/>
      <c r="AT36" s="124"/>
      <c r="AU36" s="1">
        <f>(AG36*((((Tv_cool-Tr_cool)/LN((Tv_cool-Tl_cool)/(Tr_cool-Tl_cool)))/((16-18)/LN((16-27)/(18-27))))^S36))*$G$14</f>
        <v>9.9704577777777637E-2</v>
      </c>
      <c r="AV36" s="1">
        <f>((AU36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36+0.00625)*(Tl_cool-(Tv_cool+Tr_cool)/2)-(-0.000625*$C36+0.00625)*10))))*$H$14</f>
        <v>298.11999999999995</v>
      </c>
      <c r="AW36" s="73"/>
      <c r="AX36" s="181"/>
      <c r="AY36" s="182"/>
      <c r="AZ36" s="182"/>
      <c r="BA36" s="267"/>
      <c r="BB36" s="183"/>
      <c r="BC36" s="183"/>
      <c r="BD36" s="184"/>
      <c r="BE36" s="72"/>
      <c r="BF36" s="73"/>
      <c r="BG36" s="73"/>
      <c r="BH36" s="73"/>
      <c r="BI36" s="74"/>
      <c r="BJ36" s="74"/>
      <c r="BK36" s="75"/>
      <c r="BL36" s="72"/>
      <c r="BM36" s="73"/>
      <c r="BN36" s="73"/>
      <c r="BO36" s="73"/>
      <c r="BP36" s="74"/>
      <c r="BQ36" s="74"/>
      <c r="BR36" s="75"/>
      <c r="BS36" s="73"/>
      <c r="BT36" s="72"/>
      <c r="BU36" s="73"/>
      <c r="BV36" s="73"/>
      <c r="BW36" s="73"/>
      <c r="BX36" s="74"/>
      <c r="BY36" s="74"/>
      <c r="BZ36" s="75"/>
      <c r="CA36" s="72"/>
      <c r="CB36" s="73"/>
      <c r="CC36" s="73"/>
      <c r="CD36" s="73"/>
      <c r="CE36" s="74"/>
      <c r="CF36" s="74"/>
      <c r="CG36" s="75"/>
    </row>
    <row r="37" spans="2:85" ht="14.5" x14ac:dyDescent="0.35">
      <c r="B37" s="33">
        <v>0.6</v>
      </c>
      <c r="C37" s="3">
        <v>6</v>
      </c>
      <c r="D37" s="27">
        <f>(X37*($T$11^$Q37))*Watts*CF_Altit</f>
        <v>3168.2960000000003</v>
      </c>
      <c r="E37" s="3">
        <f>ROUND(((D37/Watts)/(($S$9-$S$10)*1.163))*$E$14,IF($X$4=1,0,IF($X$4=2,2)))</f>
        <v>272</v>
      </c>
      <c r="F37" s="30">
        <f>($Y$36*(E37/$E$14)^$Y$38)*$F$14</f>
        <v>20.353756706029522</v>
      </c>
      <c r="G37" s="4">
        <f>(Z37*($W$11^R37))*Watts*CF_Altit</f>
        <v>470.8239999999999</v>
      </c>
      <c r="H37" s="4">
        <f>((G37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37+0.001448)*(Tl_cool-Tavg_cold)+(0.016908*$C37-0.033574))*1.039&gt;1,1,1/(1+((2258*((0.622/(($Z$11/(1*611*EXP(17.27*(Tavg_cold/(Tavg_cold+237.3))))))-1)*1000-(0.622/(($Z$11/(RH*611*EXP(17.27*(Tl_cool/(Tl_cool+237.3))))))-1)*1000))/(1005*(Tavg_cold-Tl_cool))))*1.039+((-0.000729*$C37+0.001448)*(Tl_cool-Tavg_cold)+(0.016908*$C37-0.033574))*1.039))))*Watts</f>
        <v>470.8239999999999</v>
      </c>
      <c r="I37" s="3">
        <f>ROUND(((H37/Watts)/((Tr_cool-Tv_cool)*1.163))*$I$14,IF($X$4=1,0,IF($X$4=2,2)))</f>
        <v>202</v>
      </c>
      <c r="J37" s="5">
        <f>($AA$36*(I37/$I$14)^$AA$38)*$J$14</f>
        <v>11.830807577544526</v>
      </c>
      <c r="K37" s="59">
        <f>L37-8</f>
        <v>32</v>
      </c>
      <c r="L37" s="53">
        <f t="shared" si="11"/>
        <v>40</v>
      </c>
      <c r="M37" s="46">
        <f t="shared" si="11"/>
        <v>5.4</v>
      </c>
      <c r="N37" s="64">
        <f>AD37*Cubics</f>
        <v>196</v>
      </c>
      <c r="O37" s="248">
        <f>((($D37/Watts)/(((p_atm*0.028964)/(8.31447*(20+273.15)))*(($N37/3600)/Cubics)*(1005+1870*((0.622)/(((p_atm)/($E$12*Pvs_Heat_in))-1)))))+Tl_heat)*Celc1+Celc2</f>
        <v>67.448825392857387</v>
      </c>
      <c r="P37" s="249">
        <f>(Tl_cool-(($G37/Watts)/(1006*$N37*kgss)))*Celc1+Celc2</f>
        <v>19.860290288912662</v>
      </c>
      <c r="Q37" s="215">
        <v>1</v>
      </c>
      <c r="R37" s="113">
        <v>0.9</v>
      </c>
      <c r="S37" s="271"/>
      <c r="U37" s="272"/>
      <c r="V37" s="273"/>
      <c r="W37" s="173">
        <f>(H37-G37)/H37</f>
        <v>0</v>
      </c>
      <c r="X37" s="123">
        <f t="shared" si="1"/>
        <v>3168.2960000000003</v>
      </c>
      <c r="Y37" s="119" t="str">
        <f t="shared" si="2"/>
        <v>b</v>
      </c>
      <c r="Z37" s="124">
        <f t="shared" si="3"/>
        <v>470.8239999999999</v>
      </c>
      <c r="AA37" s="119" t="str">
        <f t="shared" si="4"/>
        <v>b</v>
      </c>
      <c r="AB37" s="124">
        <f t="shared" si="5"/>
        <v>40</v>
      </c>
      <c r="AC37" s="124">
        <f t="shared" si="6"/>
        <v>5.4</v>
      </c>
      <c r="AD37" s="124">
        <f t="shared" si="7"/>
        <v>196</v>
      </c>
      <c r="AE37" s="121">
        <v>3168.2960000000003</v>
      </c>
      <c r="AF37" s="119" t="s">
        <v>50</v>
      </c>
      <c r="AG37" s="125">
        <v>470.8239999999999</v>
      </c>
      <c r="AH37" s="119" t="s">
        <v>50</v>
      </c>
      <c r="AI37" s="125">
        <v>40</v>
      </c>
      <c r="AJ37" s="125">
        <v>5.4</v>
      </c>
      <c r="AK37" s="126">
        <v>196</v>
      </c>
      <c r="AL37" s="124"/>
      <c r="AM37" s="123"/>
      <c r="AN37" s="119"/>
      <c r="AO37" s="124"/>
      <c r="AP37" s="119"/>
      <c r="AQ37" s="125"/>
      <c r="AR37" s="125"/>
      <c r="AS37" s="126"/>
      <c r="AT37" s="124"/>
      <c r="AU37" s="1">
        <f>(AG37*((((Tv_cool-Tr_cool)/LN((Tv_cool-Tl_cool)/(Tr_cool-Tl_cool)))/((16-18)/LN((16-27)/(18-27))))^S37))*$G$14</f>
        <v>0.15746447111111087</v>
      </c>
      <c r="AV37" s="1">
        <f>((AU37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37+0.00625)*(Tl_cool-(Tv_cool+Tr_cool)/2)-(-0.000625*$C37+0.00625)*10))))*$H$14</f>
        <v>470.82399999999984</v>
      </c>
      <c r="AW37" s="73"/>
      <c r="AX37" s="181"/>
      <c r="AY37" s="177"/>
      <c r="AZ37" s="182"/>
      <c r="BA37" s="177"/>
      <c r="BB37" s="183"/>
      <c r="BC37" s="183"/>
      <c r="BD37" s="184"/>
      <c r="BE37" s="72"/>
      <c r="BF37" s="68"/>
      <c r="BG37" s="73"/>
      <c r="BH37" s="68"/>
      <c r="BI37" s="74"/>
      <c r="BJ37" s="74"/>
      <c r="BK37" s="75"/>
      <c r="BL37" s="72"/>
      <c r="BM37" s="68"/>
      <c r="BN37" s="73"/>
      <c r="BO37" s="68"/>
      <c r="BP37" s="74"/>
      <c r="BQ37" s="74"/>
      <c r="BR37" s="75"/>
      <c r="BS37" s="73"/>
      <c r="BT37" s="72"/>
      <c r="BU37" s="68"/>
      <c r="BV37" s="73"/>
      <c r="BW37" s="68"/>
      <c r="BX37" s="74"/>
      <c r="BY37" s="74"/>
      <c r="BZ37" s="75"/>
      <c r="CA37" s="72"/>
      <c r="CB37" s="68"/>
      <c r="CC37" s="73"/>
      <c r="CD37" s="68"/>
      <c r="CE37" s="74"/>
      <c r="CF37" s="74"/>
      <c r="CG37" s="75"/>
    </row>
    <row r="38" spans="2:85" ht="14.5" x14ac:dyDescent="0.35">
      <c r="B38" s="33">
        <v>0.8</v>
      </c>
      <c r="C38" s="3">
        <v>8</v>
      </c>
      <c r="D38" s="27">
        <f>(X38*($T$11^$Q38))*Watts*CF_Altit</f>
        <v>4039.0120000000002</v>
      </c>
      <c r="E38" s="3">
        <f>ROUND(((D38/Watts)/(($S$9-$S$10)*1.163))*$E$14,IF($X$4=1,0,IF($X$4=2,2)))</f>
        <v>347</v>
      </c>
      <c r="F38" s="30">
        <f>($Y$36*(E38/$E$14)^$Y$38)*$F$14</f>
        <v>31.732232524165788</v>
      </c>
      <c r="G38" s="4">
        <f>(Z38*($W$11^R38))*Watts*CF_Altit</f>
        <v>651.75199999999973</v>
      </c>
      <c r="H38" s="4">
        <f>((G38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38+0.001448)*(Tl_cool-Tavg_cold)+(0.016908*$C38-0.033574))*1.039&gt;1,1,1/(1+((2258*((0.622/(($Z$11/(1*611*EXP(17.27*(Tavg_cold/(Tavg_cold+237.3))))))-1)*1000-(0.622/(($Z$11/(RH*611*EXP(17.27*(Tl_cool/(Tl_cool+237.3))))))-1)*1000))/(1005*(Tavg_cold-Tl_cool))))*1.039+((-0.000729*$C38+0.001448)*(Tl_cool-Tavg_cold)+(0.016908*$C38-0.033574))*1.039))))*Watts</f>
        <v>651.75199999999973</v>
      </c>
      <c r="I38" s="3">
        <f>ROUND(((H38/Watts)/((Tr_cool-Tv_cool)*1.163))*$I$14,IF($X$4=1,0,IF($X$4=2,2)))</f>
        <v>280</v>
      </c>
      <c r="J38" s="5">
        <f>($AA$36*(I38/$I$14)^$AA$38)*$J$14</f>
        <v>21.458583421095753</v>
      </c>
      <c r="K38" s="59">
        <f>L38-8</f>
        <v>37</v>
      </c>
      <c r="L38" s="53">
        <f t="shared" si="11"/>
        <v>45</v>
      </c>
      <c r="M38" s="46">
        <f t="shared" si="11"/>
        <v>9.1</v>
      </c>
      <c r="N38" s="64">
        <f>AD38*Cubics</f>
        <v>250</v>
      </c>
      <c r="O38" s="248">
        <f>((($D38/Watts)/(((p_atm*0.028964)/(8.31447*(20+273.15)))*(($N38/3600)/Cubics)*(1005+1870*((0.622)/(((p_atm)/($E$12*Pvs_Heat_in))-1)))))+Tl_heat)*Celc1+Celc2</f>
        <v>67.423207337875638</v>
      </c>
      <c r="P38" s="249">
        <f>(Tl_cool-(($G38/Watts)/(1006*$N38*kgss)))*Celc1+Celc2</f>
        <v>19.251450763855399</v>
      </c>
      <c r="Q38" s="215">
        <v>1</v>
      </c>
      <c r="R38" s="113">
        <v>0.9</v>
      </c>
      <c r="S38" s="271"/>
      <c r="T38" s="272"/>
      <c r="U38" s="272"/>
      <c r="V38" s="273"/>
      <c r="W38" s="173">
        <f>(H38-G38)/H38</f>
        <v>0</v>
      </c>
      <c r="X38" s="123">
        <f t="shared" si="1"/>
        <v>4039.0120000000002</v>
      </c>
      <c r="Y38" s="124">
        <f t="shared" si="2"/>
        <v>1.8235155847906248</v>
      </c>
      <c r="Z38" s="124">
        <f t="shared" si="3"/>
        <v>651.75199999999973</v>
      </c>
      <c r="AA38" s="124">
        <f t="shared" si="4"/>
        <v>1.8235155847906248</v>
      </c>
      <c r="AB38" s="124">
        <f t="shared" si="5"/>
        <v>45</v>
      </c>
      <c r="AC38" s="124">
        <f t="shared" si="6"/>
        <v>9.1</v>
      </c>
      <c r="AD38" s="124">
        <f t="shared" si="7"/>
        <v>250</v>
      </c>
      <c r="AE38" s="121">
        <v>4039.0120000000002</v>
      </c>
      <c r="AF38" s="124">
        <v>1.8235155847906248</v>
      </c>
      <c r="AG38" s="125">
        <v>651.75199999999973</v>
      </c>
      <c r="AH38" s="124">
        <f>AF38</f>
        <v>1.8235155847906248</v>
      </c>
      <c r="AI38" s="125">
        <v>45</v>
      </c>
      <c r="AJ38" s="125">
        <v>9.1</v>
      </c>
      <c r="AK38" s="126">
        <v>250</v>
      </c>
      <c r="AL38" s="124"/>
      <c r="AM38" s="123"/>
      <c r="AN38" s="124"/>
      <c r="AO38" s="124"/>
      <c r="AP38" s="124"/>
      <c r="AQ38" s="125"/>
      <c r="AR38" s="125"/>
      <c r="AS38" s="126"/>
      <c r="AT38" s="124"/>
      <c r="AU38" s="1">
        <f>(AG38*((((Tv_cool-Tr_cool)/LN((Tv_cool-Tl_cool)/(Tr_cool-Tl_cool)))/((16-18)/LN((16-27)/(18-27))))^S38))*$G$14</f>
        <v>0.21797483555555519</v>
      </c>
      <c r="AV38" s="1">
        <f>((AU38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38+0.00625)*(Tl_cool-(Tv_cool+Tr_cool)/2)-(-0.000625*$C38+0.00625)*10))))*$H$14</f>
        <v>651.75199999999973</v>
      </c>
      <c r="AW38" s="73"/>
      <c r="AX38" s="181"/>
      <c r="AY38" s="182"/>
      <c r="AZ38" s="182"/>
      <c r="BA38" s="182"/>
      <c r="BB38" s="183"/>
      <c r="BC38" s="183"/>
      <c r="BD38" s="184"/>
      <c r="BE38" s="72"/>
      <c r="BF38" s="73"/>
      <c r="BG38" s="73"/>
      <c r="BH38" s="73"/>
      <c r="BI38" s="74"/>
      <c r="BJ38" s="74"/>
      <c r="BK38" s="75"/>
      <c r="BL38" s="72"/>
      <c r="BM38" s="73"/>
      <c r="BN38" s="73"/>
      <c r="BO38" s="73"/>
      <c r="BP38" s="74"/>
      <c r="BQ38" s="74"/>
      <c r="BR38" s="75"/>
      <c r="BS38" s="73"/>
      <c r="BT38" s="72"/>
      <c r="BU38" s="73"/>
      <c r="BV38" s="73"/>
      <c r="BW38" s="73"/>
      <c r="BX38" s="74"/>
      <c r="BY38" s="74"/>
      <c r="BZ38" s="75"/>
      <c r="CA38" s="72"/>
      <c r="CB38" s="73"/>
      <c r="CC38" s="73"/>
      <c r="CD38" s="73"/>
      <c r="CE38" s="74"/>
      <c r="CF38" s="74"/>
      <c r="CG38" s="75"/>
    </row>
    <row r="39" spans="2:85" ht="14.5" x14ac:dyDescent="0.35">
      <c r="B39" s="33">
        <v>1</v>
      </c>
      <c r="C39" s="3">
        <v>10</v>
      </c>
      <c r="D39" s="27">
        <f>(X39*($T$11^$Q39))*Watts*CF_Altit</f>
        <v>4876.8320000000003</v>
      </c>
      <c r="E39" s="3">
        <f>ROUND(((D39/Watts)/(($S$9-$S$10)*1.163))*$E$14,IF($X$4=1,0,IF($X$4=2,2)))</f>
        <v>419</v>
      </c>
      <c r="F39" s="30">
        <f>($Y$36*(E39/$E$14)^$Y$38)*$F$14</f>
        <v>44.752610931641868</v>
      </c>
      <c r="G39" s="4">
        <f>(Z39*($W$11^R39))*Watts*CF_Altit</f>
        <v>838.84799999999984</v>
      </c>
      <c r="H39" s="4">
        <f>((G39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39+0.001448)*(Tl_cool-Tavg_cold)+(0.016908*$C39-0.033574))*1.039&gt;1,1,1/(1+((2258*((0.622/(($Z$11/(1*611*EXP(17.27*(Tavg_cold/(Tavg_cold+237.3))))))-1)*1000-(0.622/(($Z$11/(RH*611*EXP(17.27*(Tl_cool/(Tl_cool+237.3))))))-1)*1000))/(1005*(Tavg_cold-Tl_cool))))*1.039+((-0.000729*$C39+0.001448)*(Tl_cool-Tavg_cold)+(0.016908*$C39-0.033574))*1.039))))*Watts</f>
        <v>838.84799999999984</v>
      </c>
      <c r="I39" s="3">
        <f>ROUND(((H39/Watts)/((Tr_cool-Tv_cool)*1.163))*$I$14,IF($X$4=1,0,IF($X$4=2,2)))</f>
        <v>361</v>
      </c>
      <c r="J39" s="5">
        <f>($AA$36*(I39/$I$14)^$AA$38)*$J$14</f>
        <v>34.10550473288</v>
      </c>
      <c r="K39" s="59">
        <f>L39-8</f>
        <v>41</v>
      </c>
      <c r="L39" s="53">
        <f t="shared" si="11"/>
        <v>49</v>
      </c>
      <c r="M39" s="46">
        <f t="shared" si="11"/>
        <v>14.1</v>
      </c>
      <c r="N39" s="64">
        <f>AD39*Cubics</f>
        <v>320</v>
      </c>
      <c r="O39" s="248">
        <f>((($D39/Watts)/(((p_atm*0.028964)/(8.31447*(20+273.15)))*(($N39/3600)/Cubics)*(1005+1870*((0.622)/(((p_atm)/($E$12*Pvs_Heat_in))-1)))))+Tl_heat)*Celc1+Celc2</f>
        <v>64.734604783914889</v>
      </c>
      <c r="P39" s="249">
        <f>(Tl_cool-(($G39/Watts)/(1006*$N39*kgss)))*Celc1+Celc2</f>
        <v>19.208674861132202</v>
      </c>
      <c r="Q39" s="215">
        <v>1</v>
      </c>
      <c r="R39" s="113">
        <v>0.9</v>
      </c>
      <c r="S39" s="271"/>
      <c r="T39" s="272"/>
      <c r="U39" s="272"/>
      <c r="V39" s="273"/>
      <c r="W39" s="173">
        <f>(H39-G39)/H39</f>
        <v>0</v>
      </c>
      <c r="X39" s="127">
        <f t="shared" si="1"/>
        <v>4876.8320000000003</v>
      </c>
      <c r="Y39" s="140">
        <f t="shared" si="2"/>
        <v>0</v>
      </c>
      <c r="Z39" s="129">
        <f t="shared" si="3"/>
        <v>838.84799999999984</v>
      </c>
      <c r="AA39" s="140">
        <f t="shared" si="4"/>
        <v>0</v>
      </c>
      <c r="AB39" s="129">
        <f t="shared" si="5"/>
        <v>49</v>
      </c>
      <c r="AC39" s="129">
        <f t="shared" si="6"/>
        <v>14.1</v>
      </c>
      <c r="AD39" s="129">
        <f t="shared" si="7"/>
        <v>320</v>
      </c>
      <c r="AE39" s="121">
        <v>4876.8320000000003</v>
      </c>
      <c r="AF39" s="128"/>
      <c r="AG39" s="130">
        <v>838.84799999999984</v>
      </c>
      <c r="AH39" s="128"/>
      <c r="AI39" s="130">
        <v>49</v>
      </c>
      <c r="AJ39" s="130">
        <v>14.1</v>
      </c>
      <c r="AK39" s="131">
        <v>320</v>
      </c>
      <c r="AL39" s="129"/>
      <c r="AM39" s="127"/>
      <c r="AN39" s="128"/>
      <c r="AO39" s="129"/>
      <c r="AP39" s="128"/>
      <c r="AQ39" s="130"/>
      <c r="AR39" s="130"/>
      <c r="AS39" s="131"/>
      <c r="AT39" s="124"/>
      <c r="AU39" s="1">
        <f>(AG39*((((Tv_cool-Tr_cool)/LN((Tv_cool-Tl_cool)/(Tr_cool-Tl_cool)))/((16-18)/LN((16-27)/(18-27))))^S39))*$G$14</f>
        <v>0.28054805333333294</v>
      </c>
      <c r="AV39" s="1">
        <f>((AU39/$G$14)/(IF((237.3*LN((RH*EXP(17.27*(Tl_cool/(Tl_cool+237.3))))))/(17.27-LN((RH*EXP(17.27*(Tl_cool/(Tl_cool+237.3))))))&lt;((Tv_cool+Tr_cool)/2),1,1/(1+((2258*((0.622/((p_atm/(1*611*EXP(17.27*(((Tv_cool+Tr_cool)/2)/(((Tv_cool+Tr_cool)/2)+237.3))))))-1)*1000-(0.622/((p_atm/(RH*611*EXP(17.27*(Tl_cool/(Tl_cool+237.3))))))-1)*1000))/(1005*(((Tv_cool+Tr_cool)/2)-Tl_cool))))+-((-0.000625*$C39+0.00625)*(Tl_cool-(Tv_cool+Tr_cool)/2)-(-0.000625*$C39+0.00625)*10))))*$H$14</f>
        <v>838.84799999999984</v>
      </c>
      <c r="AW39" s="73"/>
      <c r="AX39" s="185"/>
      <c r="AY39" s="186"/>
      <c r="AZ39" s="187"/>
      <c r="BA39" s="186"/>
      <c r="BB39" s="188"/>
      <c r="BC39" s="188"/>
      <c r="BD39" s="189"/>
      <c r="BE39" s="76"/>
      <c r="BF39" s="77"/>
      <c r="BG39" s="78"/>
      <c r="BH39" s="77"/>
      <c r="BI39" s="79"/>
      <c r="BJ39" s="79"/>
      <c r="BK39" s="80"/>
      <c r="BL39" s="76"/>
      <c r="BM39" s="77"/>
      <c r="BN39" s="78"/>
      <c r="BO39" s="77"/>
      <c r="BP39" s="79"/>
      <c r="BQ39" s="79"/>
      <c r="BR39" s="80"/>
      <c r="BS39" s="73"/>
      <c r="BT39" s="76"/>
      <c r="BU39" s="77"/>
      <c r="BV39" s="78"/>
      <c r="BW39" s="77"/>
      <c r="BX39" s="79"/>
      <c r="BY39" s="79"/>
      <c r="BZ39" s="80"/>
      <c r="CA39" s="76"/>
      <c r="CB39" s="77"/>
      <c r="CC39" s="78"/>
      <c r="CD39" s="77"/>
      <c r="CE39" s="79"/>
      <c r="CF39" s="79"/>
      <c r="CG39" s="80"/>
    </row>
    <row r="40" spans="2:85" ht="14.5" x14ac:dyDescent="0.35">
      <c r="B40" s="337" t="str">
        <f>IF($S$7=1,NL!A39,IF(cal!$S$7=2,EN!A39,IF(cal!$S$7=3,DE!A39,IF(cal!$S$7=4,FR!A39,IF(cal!$S$7=5,NR!A39,IF(cal!$S$7=6,SP!A39,IF(cal!$S$7=7,SW!A39,IF(cal!$S$7=8,TS!A39,IF(cal!$S$7=9,ExtraTaal1!A39,IF(cal!$S$7=10,ExtraTaal2!A39,IF(cal!$S$7=11,ExtraTaal3!A39,)))))))))))</f>
        <v>Freedom height 0 cm width 0 cm length 0 cm (Type 5)</v>
      </c>
      <c r="C40" s="338">
        <f>IF($S$7=1,NL!B39,IF(cal!$S$7=2,EN!B39,IF(cal!$S$7=3,DE!B39,IF(cal!$S$7=4,FR!B39,IF(cal!$S$7=5,NR!B39,IF(cal!$S$7=6,SP!B39,IF(cal!$S$7=7,SW!B39,IF(cal!$S$7=8,TS!B39,IF(cal!$S$7=9,ExtraTaal1!B39,IF(cal!$S$7=10,ExtraTaal2!B39,IF(cal!$S$7=11,ExtraTaal3!B39,)))))))))))</f>
        <v>0</v>
      </c>
      <c r="D40" s="338">
        <f>IF($S$7=1,NL!C39,IF(cal!$S$7=2,EN!C39,IF(cal!$S$7=3,DE!C39,IF(cal!$S$7=4,FR!C39,IF(cal!$S$7=5,NR!C39,IF(cal!$S$7=6,SP!C39,IF(cal!$S$7=7,SW!C39,IF(cal!$S$7=8,TS!C39,IF(cal!$S$7=9,ExtraTaal1!C39,IF(cal!$S$7=10,ExtraTaal2!C39,IF(cal!$S$7=11,ExtraTaal3!C39,)))))))))))</f>
        <v>0</v>
      </c>
      <c r="E40" s="338">
        <f>IF($S$7=1,NL!D39,IF(cal!$S$7=2,EN!D39,IF(cal!$S$7=3,DE!D39,IF(cal!$S$7=4,FR!D39,IF(cal!$S$7=5,NR!D39,IF(cal!$S$7=6,SP!D39,IF(cal!$S$7=7,SW!D39,IF(cal!$S$7=8,TS!D39,IF(cal!$S$7=9,ExtraTaal1!D39,IF(cal!$S$7=10,ExtraTaal2!D39,IF(cal!$S$7=11,ExtraTaal3!D39,)))))))))))</f>
        <v>0</v>
      </c>
      <c r="F40" s="338">
        <f>IF($S$7=1,NL!E39,IF(cal!$S$7=2,EN!E39,IF(cal!$S$7=3,DE!E39,IF(cal!$S$7=4,FR!E39,IF(cal!$S$7=5,NR!E39,IF(cal!$S$7=6,SP!E39,IF(cal!$S$7=7,SW!E39,IF(cal!$S$7=8,TS!E39,IF(cal!$S$7=9,ExtraTaal1!E39,IF(cal!$S$7=10,ExtraTaal2!E39,IF(cal!$S$7=11,ExtraTaal3!E39,)))))))))))</f>
        <v>0</v>
      </c>
      <c r="G40" s="338">
        <f>IF($S$7=1,NL!F39,IF(cal!$S$7=2,EN!F39,IF(cal!$S$7=3,DE!F39,IF(cal!$S$7=4,FR!F39,IF(cal!$S$7=5,NR!F39,IF(cal!$S$7=6,SP!F39,IF(cal!$S$7=7,SW!F39,IF(cal!$S$7=8,TS!F39,IF(cal!$S$7=9,ExtraTaal1!F39,IF(cal!$S$7=10,ExtraTaal2!F39,IF(cal!$S$7=11,ExtraTaal3!F39,)))))))))))</f>
        <v>0</v>
      </c>
      <c r="H40" s="338">
        <f>IF($S$7=1,NL!G39,IF(cal!$S$7=2,EN!G39,IF(cal!$S$7=3,DE!G39,IF(cal!$S$7=4,FR!G39,IF(cal!$S$7=5,NR!G39,IF(cal!$S$7=6,SP!G39,IF(cal!$S$7=7,SW!G39,IF(cal!$S$7=8,TS!G39,IF(cal!$S$7=9,ExtraTaal1!G39,IF(cal!$S$7=10,ExtraTaal2!G39,IF(cal!$S$7=11,ExtraTaal3!G39,)))))))))))</f>
        <v>0</v>
      </c>
      <c r="I40" s="338">
        <f>IF($S$7=1,NL!H39,IF(cal!$S$7=2,EN!H39,IF(cal!$S$7=3,DE!H39,IF(cal!$S$7=4,FR!H39,IF(cal!$S$7=5,NR!H39,IF(cal!$S$7=6,SP!H39,IF(cal!$S$7=7,SW!H39,IF(cal!$S$7=8,TS!H39,IF(cal!$S$7=9,ExtraTaal1!H39,IF(cal!$S$7=10,ExtraTaal2!H39,IF(cal!$S$7=11,ExtraTaal3!H39,)))))))))))</f>
        <v>0</v>
      </c>
      <c r="J40" s="338">
        <f>IF($S$7=1,NL!I39,IF(cal!$S$7=2,EN!I39,IF(cal!$S$7=3,DE!I39,IF(cal!$S$7=4,FR!I39,IF(cal!$S$7=5,NR!I39,IF(cal!$S$7=6,SP!I39,IF(cal!$S$7=7,SW!I39,IF(cal!$S$7=8,TS!I39,IF(cal!$S$7=9,ExtraTaal1!I39,IF(cal!$S$7=10,ExtraTaal2!I39,IF(cal!$S$7=11,ExtraTaal3!I39,)))))))))))</f>
        <v>0</v>
      </c>
      <c r="K40" s="338">
        <f>IF($S$7=1,NL!J39,IF(cal!$S$7=2,EN!J39,IF(cal!$S$7=3,DE!J39,IF(cal!$S$7=4,FR!J39,IF(cal!$S$7=5,NR!J39,IF(cal!$S$7=6,SP!J39,IF(cal!$S$7=7,SW!J39,IF(cal!$S$7=8,TS!J39,IF(cal!$S$7=9,ExtraTaal1!J39,IF(cal!$S$7=10,ExtraTaal2!J39,IF(cal!$S$7=11,ExtraTaal3!J39,)))))))))))</f>
        <v>0</v>
      </c>
      <c r="L40" s="338">
        <f>IF($S$7=1,NL!K39,IF(cal!$S$7=2,EN!K39,IF(cal!$S$7=3,DE!K39,IF(cal!$S$7=4,FR!K39,IF(cal!$S$7=5,NR!K39,IF(cal!$S$7=6,SP!K39,IF(cal!$S$7=7,SW!K39,IF(cal!$S$7=8,TS!K39,IF(cal!$S$7=9,ExtraTaal1!K39,IF(cal!$S$7=10,ExtraTaal2!K39,IF(cal!$S$7=11,ExtraTaal3!K39,)))))))))))</f>
        <v>0</v>
      </c>
      <c r="M40" s="338">
        <f>IF($S$7=1,NL!L39,IF(cal!$S$7=2,EN!L39,IF(cal!$S$7=3,DE!L39,IF(cal!$S$7=4,FR!L39,IF(cal!$S$7=5,NR!L39,IF(cal!$S$7=6,SP!L39,IF(cal!$S$7=7,SW!L39,IF(cal!$S$7=8,TS!L39,IF(cal!$S$7=9,ExtraTaal1!L39,IF(cal!$S$7=10,ExtraTaal2!L39,IF(cal!$S$7=11,ExtraTaal3!L39,)))))))))))</f>
        <v>0</v>
      </c>
      <c r="N40" s="338">
        <f>IF($S$7=1,NL!M39,IF(cal!$S$7=2,EN!M39,IF(cal!$S$7=3,DE!M39,IF(cal!$S$7=4,FR!M39,IF(cal!$S$7=5,NR!M39,IF(cal!$S$7=6,SP!M39,IF(cal!$S$7=7,SW!M39,IF(cal!$S$7=8,TS!M39,IF(cal!$S$7=9,ExtraTaal1!M39,IF(cal!$S$7=10,ExtraTaal2!M39,IF(cal!$S$7=11,ExtraTaal3!M39,)))))))))))</f>
        <v>0</v>
      </c>
      <c r="O40" s="338">
        <f>IF($S$7=1,NL!N39,IF(cal!$S$7=2,EN!N39,IF(cal!$S$7=3,DE!N39,IF(cal!$S$7=4,FR!N39,IF(cal!$S$7=5,NR!N39,IF(cal!$S$7=6,SP!N39,IF(cal!$S$7=7,SW!N39,IF(cal!$S$7=8,TS!N39,IF(cal!$S$7=9,ExtraTaal1!N39,IF(cal!$S$7=10,ExtraTaal2!N39,IF(cal!$S$7=11,ExtraTaal3!N39,)))))))))))</f>
        <v>0</v>
      </c>
      <c r="P40" s="339">
        <f>IF($S$7=1,NL!O39,IF(cal!$S$7=2,EN!O39,IF(cal!$S$7=3,DE!O39,IF(cal!$S$7=4,FR!O39,IF(cal!$S$7=5,NR!O39,IF(cal!$S$7=6,SP!O39,IF(cal!$S$7=7,SW!O39,IF(cal!$S$7=8,TS!O39,IF(cal!$S$7=9,ExtraTaal1!O39,IF(cal!$S$7=10,ExtraTaal2!O39,IF(cal!$S$7=11,ExtraTaal3!O39,)))))))))))</f>
        <v>0</v>
      </c>
      <c r="Q40" s="202" t="s">
        <v>11</v>
      </c>
      <c r="R40" s="113">
        <f t="shared" si="8"/>
        <v>0</v>
      </c>
      <c r="S40" s="270"/>
      <c r="V40" s="1"/>
      <c r="W40" s="173"/>
      <c r="X40" s="132" t="str">
        <f t="shared" si="1"/>
        <v>H</v>
      </c>
      <c r="Y40" s="147">
        <f t="shared" si="2"/>
        <v>20</v>
      </c>
      <c r="Z40" s="132" t="str">
        <f t="shared" si="3"/>
        <v>B</v>
      </c>
      <c r="AA40" s="147">
        <f t="shared" si="4"/>
        <v>19</v>
      </c>
      <c r="AB40" s="132" t="str">
        <f t="shared" si="5"/>
        <v>L</v>
      </c>
      <c r="AC40" s="137">
        <f t="shared" si="6"/>
        <v>181</v>
      </c>
      <c r="AD40" s="135">
        <f t="shared" si="7"/>
        <v>0</v>
      </c>
      <c r="AE40" s="121" t="s">
        <v>61</v>
      </c>
      <c r="AF40" s="138">
        <f>AF34</f>
        <v>20</v>
      </c>
      <c r="AG40" s="132" t="s">
        <v>62</v>
      </c>
      <c r="AH40" s="138">
        <f>AH34</f>
        <v>19</v>
      </c>
      <c r="AI40" s="132" t="s">
        <v>63</v>
      </c>
      <c r="AJ40" s="137">
        <v>181</v>
      </c>
      <c r="AK40" s="139"/>
      <c r="AL40" s="139"/>
      <c r="AM40" s="132"/>
      <c r="AN40" s="138"/>
      <c r="AO40" s="132"/>
      <c r="AP40" s="138"/>
      <c r="AQ40" s="132"/>
      <c r="AR40" s="136"/>
      <c r="AS40" s="139"/>
      <c r="AT40" s="141"/>
      <c r="AU40" s="141"/>
      <c r="AV40" s="141"/>
      <c r="AW40" s="86"/>
      <c r="AX40" s="190"/>
      <c r="AY40" s="191"/>
      <c r="AZ40" s="190"/>
      <c r="BA40" s="191"/>
      <c r="BB40" s="190"/>
      <c r="BC40" s="191"/>
      <c r="BD40" s="192"/>
      <c r="BE40" s="83"/>
      <c r="BF40" s="84"/>
      <c r="BG40" s="83"/>
      <c r="BH40" s="84"/>
      <c r="BI40" s="83"/>
      <c r="BJ40" s="84"/>
      <c r="BK40" s="82"/>
      <c r="BL40" s="83"/>
      <c r="BM40" s="84"/>
      <c r="BN40" s="83"/>
      <c r="BO40" s="84"/>
      <c r="BP40" s="83"/>
      <c r="BQ40" s="84"/>
      <c r="BR40" s="82"/>
      <c r="BS40" s="86"/>
      <c r="BT40" s="83"/>
      <c r="BU40" s="144"/>
      <c r="BV40" s="83"/>
      <c r="BW40" s="144"/>
      <c r="BX40" s="83"/>
      <c r="BY40" s="142"/>
      <c r="BZ40" s="87"/>
      <c r="CA40" s="83"/>
      <c r="CB40" s="144"/>
      <c r="CC40" s="83"/>
      <c r="CD40" s="144"/>
      <c r="CE40" s="83"/>
      <c r="CF40" s="143"/>
      <c r="CG40" s="87"/>
    </row>
    <row r="41" spans="2:85" ht="14.5" x14ac:dyDescent="0.35">
      <c r="B41" s="33">
        <v>0.2</v>
      </c>
      <c r="C41" s="3">
        <v>2</v>
      </c>
      <c r="D41" s="27">
        <f>(X41*($T$11^$Q41))*Watts*CF_Altit</f>
        <v>0</v>
      </c>
      <c r="E41" s="3">
        <f>ROUND(((D41/Watts)/(($S$9-$S$10)*1.163))*$E$14,IF($X$4=1,0,IF($X$4=2,2)))</f>
        <v>0</v>
      </c>
      <c r="F41" s="30" t="e">
        <f>($Y$42*(E41/$E$14)^$Y$44)*$F$14</f>
        <v>#NUM!</v>
      </c>
      <c r="G41" s="4">
        <f>(Z41*($W$11^R41))*Watts*CF_Altit</f>
        <v>0</v>
      </c>
      <c r="H41" s="4">
        <f>((G41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41+0.001448)*(Tl_cool-Tavg_cold)+(0.016908*$C41-0.033574))*1.039&gt;1,1,1/(1+((2258*((0.622/(($Z$11/(1*611*EXP(17.27*(Tavg_cold/(Tavg_cold+237.3))))))-1)*1000-(0.622/(($Z$11/(RH*611*EXP(17.27*(Tl_cool/(Tl_cool+237.3))))))-1)*1000))/(1005*(Tavg_cold-Tl_cool))))*1.039+((-0.000729*$C41+0.001448)*(Tl_cool-Tavg_cold)+(0.016908*$C41-0.033574))*1.039))))*Watts</f>
        <v>0</v>
      </c>
      <c r="I41" s="3">
        <f>ROUND(((H41/Watts)/((Tr_cool-Tv_cool)*1.163))*$I$14,IF($X$4=1,0,IF($X$4=2,2)))</f>
        <v>0</v>
      </c>
      <c r="J41" s="5" t="e">
        <f>($AA$42*(I41/$I$14)^$AA$44)*$J$14</f>
        <v>#NUM!</v>
      </c>
      <c r="K41" s="59">
        <f>L41-8</f>
        <v>-8</v>
      </c>
      <c r="L41" s="53">
        <f t="shared" ref="L41:M45" si="12">AB41</f>
        <v>0</v>
      </c>
      <c r="M41" s="46">
        <f t="shared" si="12"/>
        <v>0</v>
      </c>
      <c r="N41" s="64">
        <f>AD41*Cubics</f>
        <v>0</v>
      </c>
      <c r="O41" s="246" t="e">
        <f>((($D41/Watts)/(((p_atm*0.028964)/(8.31447*(20+273.15)))*(($N41/3600)/Cubics)*(1005+1870*((0.622)/(((p_atm)/($E$12*Pvs_Heat_in))-1)))))+Tl_heat)*Celc1+Celc2</f>
        <v>#DIV/0!</v>
      </c>
      <c r="P41" s="247" t="e">
        <f>(Tl_cool-(($G41/Watts)/(1006*$N41*kgss)))*Celc1+Celc2</f>
        <v>#DIV/0!</v>
      </c>
      <c r="Q41" s="215">
        <v>1</v>
      </c>
      <c r="R41" s="113">
        <f t="shared" si="8"/>
        <v>0</v>
      </c>
      <c r="S41" s="275"/>
      <c r="T41" s="276"/>
      <c r="U41" s="272"/>
      <c r="V41" s="276"/>
      <c r="W41" s="173" t="e">
        <f>(H41-G41)/H41</f>
        <v>#DIV/0!</v>
      </c>
      <c r="X41" s="118">
        <f t="shared" si="1"/>
        <v>0</v>
      </c>
      <c r="Y41" s="119">
        <f t="shared" si="2"/>
        <v>0</v>
      </c>
      <c r="Z41" s="120">
        <f t="shared" si="3"/>
        <v>0</v>
      </c>
      <c r="AA41" s="119">
        <f t="shared" si="4"/>
        <v>0</v>
      </c>
      <c r="AB41" s="120">
        <f t="shared" si="5"/>
        <v>0</v>
      </c>
      <c r="AC41" s="120">
        <f t="shared" si="6"/>
        <v>0</v>
      </c>
      <c r="AD41" s="120">
        <f t="shared" si="7"/>
        <v>0</v>
      </c>
      <c r="AE41" s="67"/>
      <c r="AF41" s="68"/>
      <c r="AG41" s="121"/>
      <c r="AH41" s="68"/>
      <c r="AI41" s="70"/>
      <c r="AJ41" s="70"/>
      <c r="AK41" s="71"/>
      <c r="AL41" s="69"/>
      <c r="AM41" s="67"/>
      <c r="AN41" s="68"/>
      <c r="AO41" s="69"/>
      <c r="AP41" s="68"/>
      <c r="AQ41" s="70"/>
      <c r="AR41" s="70"/>
      <c r="AS41" s="71"/>
      <c r="AT41" s="73"/>
      <c r="AU41" s="73"/>
      <c r="AV41" s="73"/>
      <c r="AW41" s="73"/>
      <c r="AX41" s="176"/>
      <c r="AY41" s="177"/>
      <c r="AZ41" s="178"/>
      <c r="BA41" s="177"/>
      <c r="BB41" s="179"/>
      <c r="BC41" s="179"/>
      <c r="BD41" s="180"/>
      <c r="BE41" s="67"/>
      <c r="BF41" s="68"/>
      <c r="BG41" s="69"/>
      <c r="BH41" s="68"/>
      <c r="BI41" s="70"/>
      <c r="BJ41" s="70"/>
      <c r="BK41" s="71"/>
      <c r="BL41" s="67"/>
      <c r="BM41" s="68"/>
      <c r="BN41" s="69"/>
      <c r="BO41" s="68"/>
      <c r="BP41" s="70"/>
      <c r="BQ41" s="70"/>
      <c r="BR41" s="71"/>
      <c r="BS41" s="73"/>
      <c r="BT41" s="67"/>
      <c r="BU41" s="68"/>
      <c r="BV41" s="69"/>
      <c r="BW41" s="68"/>
      <c r="BX41" s="70"/>
      <c r="BY41" s="70"/>
      <c r="BZ41" s="71"/>
      <c r="CA41" s="67"/>
      <c r="CB41" s="68"/>
      <c r="CC41" s="69"/>
      <c r="CD41" s="68"/>
      <c r="CE41" s="70"/>
      <c r="CF41" s="70"/>
      <c r="CG41" s="71"/>
    </row>
    <row r="42" spans="2:85" ht="14.5" x14ac:dyDescent="0.35">
      <c r="B42" s="33">
        <v>0.4</v>
      </c>
      <c r="C42" s="3">
        <v>4</v>
      </c>
      <c r="D42" s="27">
        <f>(X42*($T$11^$Q42))*Watts*CF_Altit</f>
        <v>0</v>
      </c>
      <c r="E42" s="3">
        <f>ROUND(((D42/Watts)/(($S$9-$S$10)*1.163))*$E$14,IF($X$4=1,0,IF($X$4=2,2)))</f>
        <v>0</v>
      </c>
      <c r="F42" s="30" t="e">
        <f>($Y$42*(E42/$E$14)^$Y$44)*$F$14</f>
        <v>#NUM!</v>
      </c>
      <c r="G42" s="4">
        <f>(Z42*($W$11^R42))*Watts*CF_Altit</f>
        <v>0</v>
      </c>
      <c r="H42" s="4">
        <f>((G42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42+0.001448)*(Tl_cool-Tavg_cold)+(0.016908*$C42-0.033574))*1.039&gt;1,1,1/(1+((2258*((0.622/(($Z$11/(1*611*EXP(17.27*(Tavg_cold/(Tavg_cold+237.3))))))-1)*1000-(0.622/(($Z$11/(RH*611*EXP(17.27*(Tl_cool/(Tl_cool+237.3))))))-1)*1000))/(1005*(Tavg_cold-Tl_cool))))*1.039+((-0.000729*$C42+0.001448)*(Tl_cool-Tavg_cold)+(0.016908*$C42-0.033574))*1.039))))*Watts</f>
        <v>0</v>
      </c>
      <c r="I42" s="3">
        <f>ROUND(((H42/Watts)/((Tr_cool-Tv_cool)*1.163))*$I$14,IF($X$4=1,0,IF($X$4=2,2)))</f>
        <v>0</v>
      </c>
      <c r="J42" s="5" t="e">
        <f>($AA$42*(I42/$I$14)^$AA$44)*$J$14</f>
        <v>#NUM!</v>
      </c>
      <c r="K42" s="59">
        <f>L42-8</f>
        <v>-8</v>
      </c>
      <c r="L42" s="53">
        <f t="shared" si="12"/>
        <v>0</v>
      </c>
      <c r="M42" s="46">
        <f t="shared" si="12"/>
        <v>0</v>
      </c>
      <c r="N42" s="64">
        <f>AD42*Cubics</f>
        <v>0</v>
      </c>
      <c r="O42" s="248" t="e">
        <f>((($D42/Watts)/(((p_atm*0.028964)/(8.31447*(20+273.15)))*(($N42/3600)/Cubics)*(1005+1870*((0.622)/(((p_atm)/($E$12*Pvs_Heat_in))-1)))))+Tl_heat)*Celc1+Celc2</f>
        <v>#DIV/0!</v>
      </c>
      <c r="P42" s="249" t="e">
        <f>(Tl_cool-(($G42/Watts)/(1006*$N42*kgss)))*Celc1+Celc2</f>
        <v>#DIV/0!</v>
      </c>
      <c r="Q42" s="215">
        <v>1</v>
      </c>
      <c r="R42" s="113">
        <f t="shared" si="8"/>
        <v>0</v>
      </c>
      <c r="S42" s="275"/>
      <c r="T42" s="276"/>
      <c r="U42" s="272"/>
      <c r="V42" s="276"/>
      <c r="W42" s="173" t="e">
        <f>(H42-G42)/H42</f>
        <v>#DIV/0!</v>
      </c>
      <c r="X42" s="123">
        <f t="shared" si="1"/>
        <v>0</v>
      </c>
      <c r="Y42" s="124">
        <f t="shared" si="2"/>
        <v>0</v>
      </c>
      <c r="Z42" s="124">
        <f t="shared" si="3"/>
        <v>0</v>
      </c>
      <c r="AA42" s="124">
        <f t="shared" si="4"/>
        <v>0</v>
      </c>
      <c r="AB42" s="124">
        <f t="shared" si="5"/>
        <v>0</v>
      </c>
      <c r="AC42" s="124">
        <f t="shared" si="6"/>
        <v>0</v>
      </c>
      <c r="AD42" s="124">
        <f t="shared" si="7"/>
        <v>0</v>
      </c>
      <c r="AE42" s="72"/>
      <c r="AF42" s="73"/>
      <c r="AG42" s="73"/>
      <c r="AH42" s="73"/>
      <c r="AI42" s="74"/>
      <c r="AJ42" s="74"/>
      <c r="AK42" s="75"/>
      <c r="AL42" s="73"/>
      <c r="AM42" s="72"/>
      <c r="AN42" s="73"/>
      <c r="AO42" s="73"/>
      <c r="AP42" s="73"/>
      <c r="AQ42" s="74"/>
      <c r="AR42" s="74"/>
      <c r="AS42" s="75"/>
      <c r="AT42" s="73"/>
      <c r="AU42" s="73"/>
      <c r="AV42" s="73"/>
      <c r="AW42" s="73"/>
      <c r="AX42" s="181"/>
      <c r="AY42" s="182"/>
      <c r="AZ42" s="182"/>
      <c r="BA42" s="182"/>
      <c r="BB42" s="183"/>
      <c r="BC42" s="183"/>
      <c r="BD42" s="184"/>
      <c r="BE42" s="72"/>
      <c r="BF42" s="73"/>
      <c r="BG42" s="73"/>
      <c r="BH42" s="73"/>
      <c r="BI42" s="74"/>
      <c r="BJ42" s="74"/>
      <c r="BK42" s="75"/>
      <c r="BL42" s="72"/>
      <c r="BM42" s="73"/>
      <c r="BN42" s="73"/>
      <c r="BO42" s="73"/>
      <c r="BP42" s="74"/>
      <c r="BQ42" s="74"/>
      <c r="BR42" s="75"/>
      <c r="BS42" s="73"/>
      <c r="BT42" s="72"/>
      <c r="BU42" s="73"/>
      <c r="BV42" s="73"/>
      <c r="BW42" s="73"/>
      <c r="BX42" s="74"/>
      <c r="BY42" s="74"/>
      <c r="BZ42" s="75"/>
      <c r="CA42" s="72"/>
      <c r="CB42" s="73"/>
      <c r="CC42" s="73"/>
      <c r="CD42" s="73"/>
      <c r="CE42" s="74"/>
      <c r="CF42" s="74"/>
      <c r="CG42" s="75"/>
    </row>
    <row r="43" spans="2:85" ht="14.5" x14ac:dyDescent="0.35">
      <c r="B43" s="33">
        <v>0.6</v>
      </c>
      <c r="C43" s="3">
        <v>6</v>
      </c>
      <c r="D43" s="27">
        <f>(X43*($T$11^$Q43))*Watts*CF_Altit</f>
        <v>0</v>
      </c>
      <c r="E43" s="3">
        <f>ROUND(((D43/Watts)/(($S$9-$S$10)*1.163))*$E$14,IF($X$4=1,0,IF($X$4=2,2)))</f>
        <v>0</v>
      </c>
      <c r="F43" s="30" t="e">
        <f>($Y$42*(E43/$E$14)^$Y$44)*$F$14</f>
        <v>#NUM!</v>
      </c>
      <c r="G43" s="4">
        <f>(Z43*($W$11^R43))*Watts*CF_Altit</f>
        <v>0</v>
      </c>
      <c r="H43" s="4">
        <f>((G43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43+0.001448)*(Tl_cool-Tavg_cold)+(0.016908*$C43-0.033574))*1.039&gt;1,1,1/(1+((2258*((0.622/(($Z$11/(1*611*EXP(17.27*(Tavg_cold/(Tavg_cold+237.3))))))-1)*1000-(0.622/(($Z$11/(RH*611*EXP(17.27*(Tl_cool/(Tl_cool+237.3))))))-1)*1000))/(1005*(Tavg_cold-Tl_cool))))*1.039+((-0.000729*$C43+0.001448)*(Tl_cool-Tavg_cold)+(0.016908*$C43-0.033574))*1.039))))*Watts</f>
        <v>0</v>
      </c>
      <c r="I43" s="3">
        <f>ROUND(((H43/Watts)/((Tr_cool-Tv_cool)*1.163))*$I$14,IF($X$4=1,0,IF($X$4=2,2)))</f>
        <v>0</v>
      </c>
      <c r="J43" s="5" t="e">
        <f>($AA$42*(I43/$I$14)^$AA$44)*$J$14</f>
        <v>#NUM!</v>
      </c>
      <c r="K43" s="59">
        <f>L43-8</f>
        <v>-8</v>
      </c>
      <c r="L43" s="53">
        <f t="shared" si="12"/>
        <v>0</v>
      </c>
      <c r="M43" s="46">
        <f t="shared" si="12"/>
        <v>0</v>
      </c>
      <c r="N43" s="64">
        <f>AD43*Cubics</f>
        <v>0</v>
      </c>
      <c r="O43" s="248" t="e">
        <f>((($D43/Watts)/(((p_atm*0.028964)/(8.31447*(20+273.15)))*(($N43/3600)/Cubics)*(1005+1870*((0.622)/(((p_atm)/($E$12*Pvs_Heat_in))-1)))))+Tl_heat)*Celc1+Celc2</f>
        <v>#DIV/0!</v>
      </c>
      <c r="P43" s="249" t="e">
        <f>(Tl_cool-(($G43/Watts)/(1006*$N43*kgss)))*Celc1+Celc2</f>
        <v>#DIV/0!</v>
      </c>
      <c r="Q43" s="215">
        <v>1</v>
      </c>
      <c r="R43" s="113">
        <f t="shared" si="8"/>
        <v>0</v>
      </c>
      <c r="S43" s="275"/>
      <c r="T43" s="276"/>
      <c r="U43" s="272"/>
      <c r="V43" s="276"/>
      <c r="W43" s="173" t="e">
        <f>(H43-G43)/H43</f>
        <v>#DIV/0!</v>
      </c>
      <c r="X43" s="123">
        <f t="shared" si="1"/>
        <v>0</v>
      </c>
      <c r="Y43" s="119">
        <f t="shared" si="2"/>
        <v>0</v>
      </c>
      <c r="Z43" s="124">
        <f t="shared" si="3"/>
        <v>0</v>
      </c>
      <c r="AA43" s="119">
        <f t="shared" si="4"/>
        <v>0</v>
      </c>
      <c r="AB43" s="124">
        <f t="shared" si="5"/>
        <v>0</v>
      </c>
      <c r="AC43" s="124">
        <f t="shared" si="6"/>
        <v>0</v>
      </c>
      <c r="AD43" s="124">
        <f t="shared" si="7"/>
        <v>0</v>
      </c>
      <c r="AE43" s="72"/>
      <c r="AF43" s="68"/>
      <c r="AG43" s="73"/>
      <c r="AH43" s="68"/>
      <c r="AI43" s="74"/>
      <c r="AJ43" s="74"/>
      <c r="AK43" s="75"/>
      <c r="AL43" s="73"/>
      <c r="AM43" s="72"/>
      <c r="AN43" s="68"/>
      <c r="AO43" s="73"/>
      <c r="AP43" s="68"/>
      <c r="AQ43" s="74"/>
      <c r="AR43" s="74"/>
      <c r="AS43" s="75"/>
      <c r="AT43" s="73"/>
      <c r="AU43" s="73"/>
      <c r="AV43" s="73"/>
      <c r="AW43" s="73"/>
      <c r="AX43" s="181"/>
      <c r="AY43" s="177"/>
      <c r="AZ43" s="182"/>
      <c r="BA43" s="177"/>
      <c r="BB43" s="183"/>
      <c r="BC43" s="183"/>
      <c r="BD43" s="184"/>
      <c r="BE43" s="72"/>
      <c r="BF43" s="68"/>
      <c r="BG43" s="73"/>
      <c r="BH43" s="68"/>
      <c r="BI43" s="74"/>
      <c r="BJ43" s="74"/>
      <c r="BK43" s="75"/>
      <c r="BL43" s="72"/>
      <c r="BM43" s="68"/>
      <c r="BN43" s="73"/>
      <c r="BO43" s="68"/>
      <c r="BP43" s="74"/>
      <c r="BQ43" s="74"/>
      <c r="BR43" s="75"/>
      <c r="BS43" s="73"/>
      <c r="BT43" s="72"/>
      <c r="BU43" s="68"/>
      <c r="BV43" s="73"/>
      <c r="BW43" s="68"/>
      <c r="BX43" s="74"/>
      <c r="BY43" s="74"/>
      <c r="BZ43" s="75"/>
      <c r="CA43" s="72"/>
      <c r="CB43" s="68"/>
      <c r="CC43" s="73"/>
      <c r="CD43" s="68"/>
      <c r="CE43" s="74"/>
      <c r="CF43" s="74"/>
      <c r="CG43" s="75"/>
    </row>
    <row r="44" spans="2:85" ht="14.5" x14ac:dyDescent="0.35">
      <c r="B44" s="33">
        <v>0.8</v>
      </c>
      <c r="C44" s="3">
        <v>8</v>
      </c>
      <c r="D44" s="27">
        <f>(X44*($T$11^$Q44))*Watts*CF_Altit</f>
        <v>0</v>
      </c>
      <c r="E44" s="3">
        <f>ROUND(((D44/Watts)/(($S$9-$S$10)*1.163))*$E$14,IF($X$4=1,0,IF($X$4=2,2)))</f>
        <v>0</v>
      </c>
      <c r="F44" s="30" t="e">
        <f>($Y$42*(E44/$E$14)^$Y$44)*$F$14</f>
        <v>#NUM!</v>
      </c>
      <c r="G44" s="4">
        <f>(Z44*($W$11^R44))*Watts*CF_Altit</f>
        <v>0</v>
      </c>
      <c r="H44" s="4">
        <f>((G44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44+0.001448)*(Tl_cool-Tavg_cold)+(0.016908*$C44-0.033574))*1.039&gt;1,1,1/(1+((2258*((0.622/(($Z$11/(1*611*EXP(17.27*(Tavg_cold/(Tavg_cold+237.3))))))-1)*1000-(0.622/(($Z$11/(RH*611*EXP(17.27*(Tl_cool/(Tl_cool+237.3))))))-1)*1000))/(1005*(Tavg_cold-Tl_cool))))*1.039+((-0.000729*$C44+0.001448)*(Tl_cool-Tavg_cold)+(0.016908*$C44-0.033574))*1.039))))*Watts</f>
        <v>0</v>
      </c>
      <c r="I44" s="3">
        <f>ROUND(((H44/Watts)/((Tr_cool-Tv_cool)*1.163))*$I$14,IF($X$4=1,0,IF($X$4=2,2)))</f>
        <v>0</v>
      </c>
      <c r="J44" s="5" t="e">
        <f>($AA$42*(I44/$I$14)^$AA$44)*$J$14</f>
        <v>#NUM!</v>
      </c>
      <c r="K44" s="59">
        <f>L44-8</f>
        <v>-8</v>
      </c>
      <c r="L44" s="53">
        <f t="shared" si="12"/>
        <v>0</v>
      </c>
      <c r="M44" s="46">
        <f t="shared" si="12"/>
        <v>0</v>
      </c>
      <c r="N44" s="64">
        <f>AD44*Cubics</f>
        <v>0</v>
      </c>
      <c r="O44" s="248" t="e">
        <f>((($D44/Watts)/(((p_atm*0.028964)/(8.31447*(20+273.15)))*(($N44/3600)/Cubics)*(1005+1870*((0.622)/(((p_atm)/($E$12*Pvs_Heat_in))-1)))))+Tl_heat)*Celc1+Celc2</f>
        <v>#DIV/0!</v>
      </c>
      <c r="P44" s="249" t="e">
        <f>(Tl_cool-(($G44/Watts)/(1006*$N44*kgss)))*Celc1+Celc2</f>
        <v>#DIV/0!</v>
      </c>
      <c r="Q44" s="215">
        <v>1</v>
      </c>
      <c r="R44" s="113">
        <f t="shared" si="8"/>
        <v>0</v>
      </c>
      <c r="S44" s="275"/>
      <c r="T44" s="276"/>
      <c r="U44" s="272"/>
      <c r="V44" s="276"/>
      <c r="W44" s="173" t="e">
        <f>(H44-G44)/H44</f>
        <v>#DIV/0!</v>
      </c>
      <c r="X44" s="123">
        <f t="shared" si="1"/>
        <v>0</v>
      </c>
      <c r="Y44" s="124">
        <f t="shared" si="2"/>
        <v>0</v>
      </c>
      <c r="Z44" s="124">
        <f t="shared" si="3"/>
        <v>0</v>
      </c>
      <c r="AA44" s="124">
        <f t="shared" si="4"/>
        <v>0</v>
      </c>
      <c r="AB44" s="124">
        <f t="shared" si="5"/>
        <v>0</v>
      </c>
      <c r="AC44" s="124">
        <f t="shared" si="6"/>
        <v>0</v>
      </c>
      <c r="AD44" s="124">
        <f t="shared" si="7"/>
        <v>0</v>
      </c>
      <c r="AE44" s="72"/>
      <c r="AF44" s="73"/>
      <c r="AG44" s="73"/>
      <c r="AH44" s="73"/>
      <c r="AI44" s="74"/>
      <c r="AJ44" s="74"/>
      <c r="AK44" s="75"/>
      <c r="AL44" s="73"/>
      <c r="AM44" s="72"/>
      <c r="AN44" s="73"/>
      <c r="AO44" s="73"/>
      <c r="AP44" s="73"/>
      <c r="AQ44" s="74"/>
      <c r="AR44" s="74"/>
      <c r="AS44" s="75"/>
      <c r="AT44" s="73"/>
      <c r="AU44" s="73"/>
      <c r="AV44" s="73"/>
      <c r="AW44" s="73"/>
      <c r="AX44" s="181"/>
      <c r="AY44" s="182"/>
      <c r="AZ44" s="182"/>
      <c r="BA44" s="182"/>
      <c r="BB44" s="183"/>
      <c r="BC44" s="183"/>
      <c r="BD44" s="184"/>
      <c r="BE44" s="72"/>
      <c r="BF44" s="73"/>
      <c r="BG44" s="73"/>
      <c r="BH44" s="73"/>
      <c r="BI44" s="74"/>
      <c r="BJ44" s="74"/>
      <c r="BK44" s="75"/>
      <c r="BL44" s="72"/>
      <c r="BM44" s="73"/>
      <c r="BN44" s="73"/>
      <c r="BO44" s="73"/>
      <c r="BP44" s="74"/>
      <c r="BQ44" s="74"/>
      <c r="BR44" s="75"/>
      <c r="BS44" s="73"/>
      <c r="BT44" s="72"/>
      <c r="BU44" s="73"/>
      <c r="BV44" s="73"/>
      <c r="BW44" s="73"/>
      <c r="BX44" s="74"/>
      <c r="BY44" s="74"/>
      <c r="BZ44" s="75"/>
      <c r="CA44" s="72"/>
      <c r="CB44" s="73"/>
      <c r="CC44" s="73"/>
      <c r="CD44" s="73"/>
      <c r="CE44" s="74"/>
      <c r="CF44" s="74"/>
      <c r="CG44" s="75"/>
    </row>
    <row r="45" spans="2:85" ht="14.5" x14ac:dyDescent="0.35">
      <c r="B45" s="33">
        <v>1</v>
      </c>
      <c r="C45" s="3">
        <v>10</v>
      </c>
      <c r="D45" s="27">
        <f>(X45*($T$11^$Q45))*Watts*CF_Altit</f>
        <v>0</v>
      </c>
      <c r="E45" s="3">
        <f>ROUND(((D45/Watts)/(($S$9-$S$10)*1.163))*$E$14,IF($X$4=1,0,IF($X$4=2,2)))</f>
        <v>0</v>
      </c>
      <c r="F45" s="30" t="e">
        <f>($Y$42*(E45/$E$14)^$Y$44)*$F$14</f>
        <v>#NUM!</v>
      </c>
      <c r="G45" s="4">
        <f>(Z45*($W$11^R45))*Watts*CF_Altit</f>
        <v>0</v>
      </c>
      <c r="H45" s="4">
        <f>((G45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45+0.001448)*(Tl_cool-Tavg_cold)+(0.016908*$C45-0.033574))*1.039&gt;1,1,1/(1+((2258*((0.622/(($Z$11/(1*611*EXP(17.27*(Tavg_cold/(Tavg_cold+237.3))))))-1)*1000-(0.622/(($Z$11/(RH*611*EXP(17.27*(Tl_cool/(Tl_cool+237.3))))))-1)*1000))/(1005*(Tavg_cold-Tl_cool))))*1.039+((-0.000729*$C45+0.001448)*(Tl_cool-Tavg_cold)+(0.016908*$C45-0.033574))*1.039))))*Watts</f>
        <v>0</v>
      </c>
      <c r="I45" s="3">
        <f>ROUND(((H45/Watts)/((Tr_cool-Tv_cool)*1.163))*$I$14,IF($X$4=1,0,IF($X$4=2,2)))</f>
        <v>0</v>
      </c>
      <c r="J45" s="5" t="e">
        <f>($AA$42*(I45/$I$14)^$AA$44)*$J$14</f>
        <v>#NUM!</v>
      </c>
      <c r="K45" s="59">
        <f>L45-8</f>
        <v>-8</v>
      </c>
      <c r="L45" s="53">
        <f t="shared" si="12"/>
        <v>0</v>
      </c>
      <c r="M45" s="46">
        <f t="shared" si="12"/>
        <v>0</v>
      </c>
      <c r="N45" s="64">
        <f>AD45*Cubics</f>
        <v>0</v>
      </c>
      <c r="O45" s="248" t="e">
        <f>((($D45/Watts)/(((p_atm*0.028964)/(8.31447*(20+273.15)))*(($N45/3600)/Cubics)*(1005+1870*((0.622)/(((p_atm)/($E$12*Pvs_Heat_in))-1)))))+Tl_heat)*Celc1+Celc2</f>
        <v>#DIV/0!</v>
      </c>
      <c r="P45" s="249" t="e">
        <f>(Tl_cool-(($G45/Watts)/(1006*$N45*kgss)))*Celc1+Celc2</f>
        <v>#DIV/0!</v>
      </c>
      <c r="Q45" s="215">
        <v>1</v>
      </c>
      <c r="R45" s="113">
        <f t="shared" si="8"/>
        <v>0</v>
      </c>
      <c r="S45" s="275"/>
      <c r="T45" s="276"/>
      <c r="U45" s="272"/>
      <c r="V45" s="276"/>
      <c r="W45" s="173" t="e">
        <f>(H45-G45)/H45</f>
        <v>#DIV/0!</v>
      </c>
      <c r="X45" s="127">
        <f t="shared" si="1"/>
        <v>0</v>
      </c>
      <c r="Y45" s="140">
        <f t="shared" si="2"/>
        <v>0</v>
      </c>
      <c r="Z45" s="129">
        <f t="shared" si="3"/>
        <v>0</v>
      </c>
      <c r="AA45" s="140">
        <f t="shared" si="4"/>
        <v>0</v>
      </c>
      <c r="AB45" s="129">
        <f t="shared" si="5"/>
        <v>0</v>
      </c>
      <c r="AC45" s="129">
        <f t="shared" si="6"/>
        <v>0</v>
      </c>
      <c r="AD45" s="129">
        <f t="shared" si="7"/>
        <v>0</v>
      </c>
      <c r="AE45" s="76"/>
      <c r="AF45" s="77"/>
      <c r="AG45" s="78"/>
      <c r="AH45" s="77"/>
      <c r="AI45" s="79"/>
      <c r="AJ45" s="79"/>
      <c r="AK45" s="80"/>
      <c r="AL45" s="78"/>
      <c r="AM45" s="76"/>
      <c r="AN45" s="77"/>
      <c r="AO45" s="78"/>
      <c r="AP45" s="77"/>
      <c r="AQ45" s="79"/>
      <c r="AR45" s="79"/>
      <c r="AS45" s="80"/>
      <c r="AT45" s="73"/>
      <c r="AU45" s="73"/>
      <c r="AV45" s="73"/>
      <c r="AW45" s="73"/>
      <c r="AX45" s="185"/>
      <c r="AY45" s="186"/>
      <c r="AZ45" s="187"/>
      <c r="BA45" s="186"/>
      <c r="BB45" s="188"/>
      <c r="BC45" s="188"/>
      <c r="BD45" s="189"/>
      <c r="BE45" s="76"/>
      <c r="BF45" s="77"/>
      <c r="BG45" s="78"/>
      <c r="BH45" s="77"/>
      <c r="BI45" s="79"/>
      <c r="BJ45" s="79"/>
      <c r="BK45" s="80"/>
      <c r="BL45" s="76"/>
      <c r="BM45" s="77"/>
      <c r="BN45" s="78"/>
      <c r="BO45" s="77"/>
      <c r="BP45" s="79"/>
      <c r="BQ45" s="79"/>
      <c r="BR45" s="80"/>
      <c r="BS45" s="73"/>
      <c r="BT45" s="76"/>
      <c r="BU45" s="77"/>
      <c r="BV45" s="78"/>
      <c r="BW45" s="77"/>
      <c r="BX45" s="79"/>
      <c r="BY45" s="79"/>
      <c r="BZ45" s="80"/>
      <c r="CA45" s="76"/>
      <c r="CB45" s="77"/>
      <c r="CC45" s="78"/>
      <c r="CD45" s="77"/>
      <c r="CE45" s="79"/>
      <c r="CF45" s="79"/>
      <c r="CG45" s="80"/>
    </row>
    <row r="46" spans="2:85" ht="14.5" x14ac:dyDescent="0.35">
      <c r="B46" s="337" t="str">
        <f>IF($S$7=1,NL!A45,IF(cal!$S$7=2,EN!A45,IF(cal!$S$7=3,DE!A45,IF(cal!$S$7=4,FR!A45,IF(cal!$S$7=5,NR!A45,IF(cal!$S$7=6,SP!A45,IF(cal!$S$7=7,SW!A45,IF(cal!$S$7=8,TS!A45,IF(cal!$S$7=9,ExtraTaal1!A45,IF(cal!$S$7=10,ExtraTaal2!A45,IF(cal!$S$7=11,ExtraTaal3!A45,)))))))))))</f>
        <v>Freedom height 0 cm width 0 cm length 0 cm (Type 6)</v>
      </c>
      <c r="C46" s="338">
        <f>IF($S$7=1,NL!B45,IF(cal!$S$7=2,EN!B45,IF(cal!$S$7=3,DE!B45,IF(cal!$S$7=4,FR!B45,IF(cal!$S$7=5,NR!B45,IF(cal!$S$7=6,SP!B45,IF(cal!$S$7=7,SW!B45,IF(cal!$S$7=8,TS!B45,IF(cal!$S$7=9,ExtraTaal1!B45,IF(cal!$S$7=10,ExtraTaal2!B45,IF(cal!$S$7=11,ExtraTaal3!B45,)))))))))))</f>
        <v>0</v>
      </c>
      <c r="D46" s="338">
        <f>IF($S$7=1,NL!C45,IF(cal!$S$7=2,EN!C45,IF(cal!$S$7=3,DE!C45,IF(cal!$S$7=4,FR!C45,IF(cal!$S$7=5,NR!C45,IF(cal!$S$7=6,SP!C45,IF(cal!$S$7=7,SW!C45,IF(cal!$S$7=8,TS!C45,IF(cal!$S$7=9,ExtraTaal1!C45,IF(cal!$S$7=10,ExtraTaal2!C45,IF(cal!$S$7=11,ExtraTaal3!C45,)))))))))))</f>
        <v>0</v>
      </c>
      <c r="E46" s="338">
        <f>IF($S$7=1,NL!D45,IF(cal!$S$7=2,EN!D45,IF(cal!$S$7=3,DE!D45,IF(cal!$S$7=4,FR!D45,IF(cal!$S$7=5,NR!D45,IF(cal!$S$7=6,SP!D45,IF(cal!$S$7=7,SW!D45,IF(cal!$S$7=8,TS!D45,IF(cal!$S$7=9,ExtraTaal1!D45,IF(cal!$S$7=10,ExtraTaal2!D45,IF(cal!$S$7=11,ExtraTaal3!D45,)))))))))))</f>
        <v>0</v>
      </c>
      <c r="F46" s="338">
        <f>IF($S$7=1,NL!E45,IF(cal!$S$7=2,EN!E45,IF(cal!$S$7=3,DE!E45,IF(cal!$S$7=4,FR!E45,IF(cal!$S$7=5,NR!E45,IF(cal!$S$7=6,SP!E45,IF(cal!$S$7=7,SW!E45,IF(cal!$S$7=8,TS!E45,IF(cal!$S$7=9,ExtraTaal1!E45,IF(cal!$S$7=10,ExtraTaal2!E45,IF(cal!$S$7=11,ExtraTaal3!E45,)))))))))))</f>
        <v>0</v>
      </c>
      <c r="G46" s="338">
        <f>IF($S$7=1,NL!F45,IF(cal!$S$7=2,EN!F45,IF(cal!$S$7=3,DE!F45,IF(cal!$S$7=4,FR!F45,IF(cal!$S$7=5,NR!F45,IF(cal!$S$7=6,SP!F45,IF(cal!$S$7=7,SW!F45,IF(cal!$S$7=8,TS!F45,IF(cal!$S$7=9,ExtraTaal1!F45,IF(cal!$S$7=10,ExtraTaal2!F45,IF(cal!$S$7=11,ExtraTaal3!F45,)))))))))))</f>
        <v>0</v>
      </c>
      <c r="H46" s="338">
        <f>IF($S$7=1,NL!G45,IF(cal!$S$7=2,EN!G45,IF(cal!$S$7=3,DE!G45,IF(cal!$S$7=4,FR!G45,IF(cal!$S$7=5,NR!G45,IF(cal!$S$7=6,SP!G45,IF(cal!$S$7=7,SW!G45,IF(cal!$S$7=8,TS!G45,IF(cal!$S$7=9,ExtraTaal1!G45,IF(cal!$S$7=10,ExtraTaal2!G45,IF(cal!$S$7=11,ExtraTaal3!G45,)))))))))))</f>
        <v>0</v>
      </c>
      <c r="I46" s="338">
        <f>IF($S$7=1,NL!H45,IF(cal!$S$7=2,EN!H45,IF(cal!$S$7=3,DE!H45,IF(cal!$S$7=4,FR!H45,IF(cal!$S$7=5,NR!H45,IF(cal!$S$7=6,SP!H45,IF(cal!$S$7=7,SW!H45,IF(cal!$S$7=8,TS!H45,IF(cal!$S$7=9,ExtraTaal1!H45,IF(cal!$S$7=10,ExtraTaal2!H45,IF(cal!$S$7=11,ExtraTaal3!H45,)))))))))))</f>
        <v>0</v>
      </c>
      <c r="J46" s="338">
        <f>IF($S$7=1,NL!I45,IF(cal!$S$7=2,EN!I45,IF(cal!$S$7=3,DE!I45,IF(cal!$S$7=4,FR!I45,IF(cal!$S$7=5,NR!I45,IF(cal!$S$7=6,SP!I45,IF(cal!$S$7=7,SW!I45,IF(cal!$S$7=8,TS!I45,IF(cal!$S$7=9,ExtraTaal1!I45,IF(cal!$S$7=10,ExtraTaal2!I45,IF(cal!$S$7=11,ExtraTaal3!I45,)))))))))))</f>
        <v>0</v>
      </c>
      <c r="K46" s="338">
        <f>IF($S$7=1,NL!J45,IF(cal!$S$7=2,EN!J45,IF(cal!$S$7=3,DE!J45,IF(cal!$S$7=4,FR!J45,IF(cal!$S$7=5,NR!J45,IF(cal!$S$7=6,SP!J45,IF(cal!$S$7=7,SW!J45,IF(cal!$S$7=8,TS!J45,IF(cal!$S$7=9,ExtraTaal1!J45,IF(cal!$S$7=10,ExtraTaal2!J45,IF(cal!$S$7=11,ExtraTaal3!J45,)))))))))))</f>
        <v>0</v>
      </c>
      <c r="L46" s="338">
        <f>IF($S$7=1,NL!K45,IF(cal!$S$7=2,EN!K45,IF(cal!$S$7=3,DE!K45,IF(cal!$S$7=4,FR!K45,IF(cal!$S$7=5,NR!K45,IF(cal!$S$7=6,SP!K45,IF(cal!$S$7=7,SW!K45,IF(cal!$S$7=8,TS!K45,IF(cal!$S$7=9,ExtraTaal1!K45,IF(cal!$S$7=10,ExtraTaal2!K45,IF(cal!$S$7=11,ExtraTaal3!K45,)))))))))))</f>
        <v>0</v>
      </c>
      <c r="M46" s="338">
        <f>IF($S$7=1,NL!L45,IF(cal!$S$7=2,EN!L45,IF(cal!$S$7=3,DE!L45,IF(cal!$S$7=4,FR!L45,IF(cal!$S$7=5,NR!L45,IF(cal!$S$7=6,SP!L45,IF(cal!$S$7=7,SW!L45,IF(cal!$S$7=8,TS!L45,IF(cal!$S$7=9,ExtraTaal1!L45,IF(cal!$S$7=10,ExtraTaal2!L45,IF(cal!$S$7=11,ExtraTaal3!L45,)))))))))))</f>
        <v>0</v>
      </c>
      <c r="N46" s="338">
        <f>IF($S$7=1,NL!M45,IF(cal!$S$7=2,EN!M45,IF(cal!$S$7=3,DE!M45,IF(cal!$S$7=4,FR!M45,IF(cal!$S$7=5,NR!M45,IF(cal!$S$7=6,SP!M45,IF(cal!$S$7=7,SW!M45,IF(cal!$S$7=8,TS!M45,IF(cal!$S$7=9,ExtraTaal1!M45,IF(cal!$S$7=10,ExtraTaal2!M45,IF(cal!$S$7=11,ExtraTaal3!M45,)))))))))))</f>
        <v>0</v>
      </c>
      <c r="O46" s="338">
        <f>IF($S$7=1,NL!N45,IF(cal!$S$7=2,EN!N45,IF(cal!$S$7=3,DE!N45,IF(cal!$S$7=4,FR!N45,IF(cal!$S$7=5,NR!N45,IF(cal!$S$7=6,SP!N45,IF(cal!$S$7=7,SW!N45,IF(cal!$S$7=8,TS!N45,IF(cal!$S$7=9,ExtraTaal1!N45,IF(cal!$S$7=10,ExtraTaal2!N45,IF(cal!$S$7=11,ExtraTaal3!N45,)))))))))))</f>
        <v>0</v>
      </c>
      <c r="P46" s="339">
        <f>IF($S$7=1,NL!O45,IF(cal!$S$7=2,EN!O45,IF(cal!$S$7=3,DE!O45,IF(cal!$S$7=4,FR!O45,IF(cal!$S$7=5,NR!O45,IF(cal!$S$7=6,SP!O45,IF(cal!$S$7=7,SW!O45,IF(cal!$S$7=8,TS!O45,IF(cal!$S$7=9,ExtraTaal1!O45,IF(cal!$S$7=10,ExtraTaal2!O45,IF(cal!$S$7=11,ExtraTaal3!O45,)))))))))))</f>
        <v>0</v>
      </c>
      <c r="Q46" s="203" t="s">
        <v>11</v>
      </c>
      <c r="R46" s="193">
        <f t="shared" si="8"/>
        <v>0</v>
      </c>
      <c r="S46" s="277"/>
      <c r="T46" s="278"/>
      <c r="U46" s="279"/>
      <c r="V46" s="278"/>
      <c r="W46" s="173"/>
      <c r="X46" s="132">
        <f t="shared" si="1"/>
        <v>0</v>
      </c>
      <c r="Y46" s="147">
        <f t="shared" si="2"/>
        <v>0</v>
      </c>
      <c r="Z46" s="132">
        <f t="shared" si="3"/>
        <v>0</v>
      </c>
      <c r="AA46" s="147">
        <f t="shared" si="4"/>
        <v>0</v>
      </c>
      <c r="AB46" s="132">
        <f t="shared" si="5"/>
        <v>0</v>
      </c>
      <c r="AC46" s="137">
        <f t="shared" si="6"/>
        <v>0</v>
      </c>
      <c r="AD46" s="135">
        <f t="shared" si="7"/>
        <v>0</v>
      </c>
      <c r="AE46" s="83"/>
      <c r="AF46" s="84"/>
      <c r="AG46" s="83"/>
      <c r="AH46" s="84"/>
      <c r="AI46" s="83"/>
      <c r="AJ46" s="84"/>
      <c r="AK46" s="82"/>
      <c r="AL46" s="82"/>
      <c r="AM46" s="83"/>
      <c r="AN46" s="84"/>
      <c r="AO46" s="83"/>
      <c r="AP46" s="84"/>
      <c r="AQ46" s="83"/>
      <c r="AR46" s="84"/>
      <c r="AS46" s="82"/>
      <c r="AT46" s="86"/>
      <c r="AU46" s="86"/>
      <c r="AV46" s="86"/>
      <c r="AW46" s="86"/>
      <c r="AX46" s="190"/>
      <c r="AY46" s="191"/>
      <c r="AZ46" s="190"/>
      <c r="BA46" s="191"/>
      <c r="BB46" s="190"/>
      <c r="BC46" s="191"/>
      <c r="BD46" s="192"/>
      <c r="BE46" s="83"/>
      <c r="BF46" s="84"/>
      <c r="BG46" s="83"/>
      <c r="BH46" s="84"/>
      <c r="BI46" s="83"/>
      <c r="BJ46" s="84"/>
      <c r="BK46" s="82"/>
      <c r="BL46" s="83"/>
      <c r="BM46" s="84"/>
      <c r="BN46" s="83"/>
      <c r="BO46" s="84"/>
      <c r="BP46" s="83"/>
      <c r="BQ46" s="84"/>
      <c r="BR46" s="82"/>
      <c r="BS46" s="86"/>
      <c r="BT46" s="83"/>
      <c r="BU46" s="84"/>
      <c r="BV46" s="83"/>
      <c r="BW46" s="84"/>
      <c r="BX46" s="83"/>
      <c r="BY46" s="84"/>
      <c r="BZ46" s="82"/>
      <c r="CA46" s="83"/>
      <c r="CB46" s="84"/>
      <c r="CC46" s="83"/>
      <c r="CD46" s="84"/>
      <c r="CE46" s="83"/>
      <c r="CF46" s="84"/>
      <c r="CG46" s="82"/>
    </row>
    <row r="47" spans="2:85" ht="14.5" x14ac:dyDescent="0.35">
      <c r="B47" s="33">
        <v>0.2</v>
      </c>
      <c r="C47" s="3">
        <v>2</v>
      </c>
      <c r="D47" s="27">
        <f>(X47*($T$11^$Q47))*Watts*CF_Altit</f>
        <v>0</v>
      </c>
      <c r="E47" s="3">
        <f>ROUND(((D47/Watts)/(($S$9-$S$10)*1.163))*$E$14,IF($X$4=1,0,IF($X$4=2,2)))</f>
        <v>0</v>
      </c>
      <c r="F47" s="30" t="e">
        <f>($Y$48*(E47/$E$14)^$Y$50)*$F$14</f>
        <v>#NUM!</v>
      </c>
      <c r="G47" s="4">
        <f>(Z47*($W$11^R47))*Watts*CF_Altit</f>
        <v>0</v>
      </c>
      <c r="H47" s="4">
        <f>((G47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47+0.001448)*(Tl_cool-Tavg_cold)+(0.016908*$C47-0.033574))*1.039&gt;1,1,1/(1+((2258*((0.622/(($Z$11/(1*611*EXP(17.27*(Tavg_cold/(Tavg_cold+237.3))))))-1)*1000-(0.622/(($Z$11/(RH*611*EXP(17.27*(Tl_cool/(Tl_cool+237.3))))))-1)*1000))/(1005*(Tavg_cold-Tl_cool))))*1.039+((-0.000729*$C47+0.001448)*(Tl_cool-Tavg_cold)+(0.016908*$C47-0.033574))*1.039))))*Watts</f>
        <v>0</v>
      </c>
      <c r="I47" s="3">
        <f>ROUND(((H47/Watts)/((Tr_cool-Tv_cool)*1.163))*$I$14,IF($X$4=1,0,IF($X$4=2,2)))</f>
        <v>0</v>
      </c>
      <c r="J47" s="5" t="e">
        <f>($AA$48*(I47/$I$14)^$AA$50)*$J$14</f>
        <v>#NUM!</v>
      </c>
      <c r="K47" s="59">
        <f>L47-8</f>
        <v>-8</v>
      </c>
      <c r="L47" s="53">
        <f t="shared" ref="L47:M51" si="13">AB47</f>
        <v>0</v>
      </c>
      <c r="M47" s="46">
        <f t="shared" si="13"/>
        <v>0</v>
      </c>
      <c r="N47" s="64">
        <f>AD47*Cubics</f>
        <v>0</v>
      </c>
      <c r="O47" s="246" t="e">
        <f>((($D47/Watts)/(((p_atm*0.028964)/(8.31447*(20+273.15)))*(($N47/3600)/Cubics)*(1005+1870*((0.622)/(((p_atm)/($E$12*Pvs_Heat_in))-1)))))+Tl_heat)*Celc1+Celc2</f>
        <v>#DIV/0!</v>
      </c>
      <c r="P47" s="247" t="e">
        <f>(Tl_cool-(($G47/Watts)/(1006*$N47*kgss)))*Celc1+Celc2</f>
        <v>#DIV/0!</v>
      </c>
      <c r="Q47" s="215">
        <v>1</v>
      </c>
      <c r="R47" s="113">
        <f t="shared" si="8"/>
        <v>0</v>
      </c>
      <c r="S47" s="275"/>
      <c r="T47" s="276"/>
      <c r="U47" s="272"/>
      <c r="V47" s="276"/>
      <c r="W47" s="173" t="e">
        <f>(H47-G47)/H47</f>
        <v>#DIV/0!</v>
      </c>
      <c r="X47" s="118">
        <f t="shared" si="1"/>
        <v>0</v>
      </c>
      <c r="Y47" s="119">
        <f t="shared" si="2"/>
        <v>0</v>
      </c>
      <c r="Z47" s="120">
        <f t="shared" si="3"/>
        <v>0</v>
      </c>
      <c r="AA47" s="119">
        <f t="shared" si="4"/>
        <v>0</v>
      </c>
      <c r="AB47" s="120">
        <f t="shared" si="5"/>
        <v>0</v>
      </c>
      <c r="AC47" s="120">
        <f t="shared" si="6"/>
        <v>0</v>
      </c>
      <c r="AD47" s="120">
        <f t="shared" si="7"/>
        <v>0</v>
      </c>
      <c r="AE47" s="67"/>
      <c r="AF47" s="68"/>
      <c r="AG47" s="69"/>
      <c r="AH47" s="68"/>
      <c r="AI47" s="70"/>
      <c r="AJ47" s="70"/>
      <c r="AK47" s="71"/>
      <c r="AL47" s="69"/>
      <c r="AM47" s="67"/>
      <c r="AN47" s="68"/>
      <c r="AO47" s="69"/>
      <c r="AP47" s="68"/>
      <c r="AQ47" s="70"/>
      <c r="AR47" s="70"/>
      <c r="AS47" s="71"/>
      <c r="AT47" s="73"/>
      <c r="AU47" s="73"/>
      <c r="AV47" s="73"/>
      <c r="AW47" s="73"/>
      <c r="AX47" s="176"/>
      <c r="AY47" s="177"/>
      <c r="AZ47" s="178"/>
      <c r="BA47" s="177"/>
      <c r="BB47" s="179"/>
      <c r="BC47" s="179"/>
      <c r="BD47" s="180"/>
      <c r="BE47" s="67"/>
      <c r="BF47" s="68"/>
      <c r="BG47" s="69"/>
      <c r="BH47" s="68"/>
      <c r="BI47" s="70"/>
      <c r="BJ47" s="70"/>
      <c r="BK47" s="71"/>
      <c r="BL47" s="67"/>
      <c r="BM47" s="68"/>
      <c r="BN47" s="69"/>
      <c r="BO47" s="68"/>
      <c r="BP47" s="70"/>
      <c r="BQ47" s="70"/>
      <c r="BR47" s="71"/>
      <c r="BS47" s="73"/>
      <c r="BT47" s="67"/>
      <c r="BU47" s="68"/>
      <c r="BV47" s="69"/>
      <c r="BW47" s="68"/>
      <c r="BX47" s="70"/>
      <c r="BY47" s="70"/>
      <c r="BZ47" s="71"/>
      <c r="CA47" s="67"/>
      <c r="CB47" s="68"/>
      <c r="CC47" s="69"/>
      <c r="CD47" s="68"/>
      <c r="CE47" s="70"/>
      <c r="CF47" s="70"/>
      <c r="CG47" s="71"/>
    </row>
    <row r="48" spans="2:85" ht="14.5" x14ac:dyDescent="0.35">
      <c r="B48" s="33">
        <v>0.4</v>
      </c>
      <c r="C48" s="3">
        <v>4</v>
      </c>
      <c r="D48" s="27">
        <f>(X48*($T$11^$Q48))*Watts*CF_Altit</f>
        <v>0</v>
      </c>
      <c r="E48" s="3">
        <f>ROUND(((D48/Watts)/(($S$9-$S$10)*1.163))*$E$14,IF($X$4=1,0,IF($X$4=2,2)))</f>
        <v>0</v>
      </c>
      <c r="F48" s="30" t="e">
        <f>($Y$48*(E48/$E$14)^$Y$50)*$F$14</f>
        <v>#NUM!</v>
      </c>
      <c r="G48" s="4">
        <f>(Z48*($W$11^R48))*Watts*CF_Altit</f>
        <v>0</v>
      </c>
      <c r="H48" s="4">
        <f>((G48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48+0.001448)*(Tl_cool-Tavg_cold)+(0.016908*$C48-0.033574))*1.039&gt;1,1,1/(1+((2258*((0.622/(($Z$11/(1*611*EXP(17.27*(Tavg_cold/(Tavg_cold+237.3))))))-1)*1000-(0.622/(($Z$11/(RH*611*EXP(17.27*(Tl_cool/(Tl_cool+237.3))))))-1)*1000))/(1005*(Tavg_cold-Tl_cool))))*1.039+((-0.000729*$C48+0.001448)*(Tl_cool-Tavg_cold)+(0.016908*$C48-0.033574))*1.039))))*Watts</f>
        <v>0</v>
      </c>
      <c r="I48" s="3">
        <f>ROUND(((H48/Watts)/((Tr_cool-Tv_cool)*1.163))*$I$14,IF($X$4=1,0,IF($X$4=2,2)))</f>
        <v>0</v>
      </c>
      <c r="J48" s="5" t="e">
        <f>($AA$48*(I48/$I$14)^$AA$50)*$J$14</f>
        <v>#NUM!</v>
      </c>
      <c r="K48" s="59">
        <f>L48-8</f>
        <v>-8</v>
      </c>
      <c r="L48" s="53">
        <f t="shared" si="13"/>
        <v>0</v>
      </c>
      <c r="M48" s="46">
        <f t="shared" si="13"/>
        <v>0</v>
      </c>
      <c r="N48" s="64">
        <f>AD48*Cubics</f>
        <v>0</v>
      </c>
      <c r="O48" s="248" t="e">
        <f>((($D48/Watts)/(((p_atm*0.028964)/(8.31447*(20+273.15)))*(($N48/3600)/Cubics)*(1005+1870*((0.622)/(((p_atm)/($E$12*Pvs_Heat_in))-1)))))+Tl_heat)*Celc1+Celc2</f>
        <v>#DIV/0!</v>
      </c>
      <c r="P48" s="249" t="e">
        <f>(Tl_cool-(($G48/Watts)/(1006*$N48*kgss)))*Celc1+Celc2</f>
        <v>#DIV/0!</v>
      </c>
      <c r="Q48" s="215">
        <v>1</v>
      </c>
      <c r="R48" s="113">
        <f t="shared" si="8"/>
        <v>0</v>
      </c>
      <c r="S48" s="275"/>
      <c r="T48" s="276"/>
      <c r="U48" s="272"/>
      <c r="V48" s="276"/>
      <c r="W48" s="173" t="e">
        <f>(H48-G48)/H48</f>
        <v>#DIV/0!</v>
      </c>
      <c r="X48" s="123">
        <f t="shared" si="1"/>
        <v>0</v>
      </c>
      <c r="Y48" s="124">
        <f t="shared" si="2"/>
        <v>0</v>
      </c>
      <c r="Z48" s="124">
        <f t="shared" si="3"/>
        <v>0</v>
      </c>
      <c r="AA48" s="124">
        <f t="shared" si="4"/>
        <v>0</v>
      </c>
      <c r="AB48" s="124">
        <f t="shared" si="5"/>
        <v>0</v>
      </c>
      <c r="AC48" s="124">
        <f t="shared" si="6"/>
        <v>0</v>
      </c>
      <c r="AD48" s="124">
        <f t="shared" si="7"/>
        <v>0</v>
      </c>
      <c r="AE48" s="72"/>
      <c r="AF48" s="73"/>
      <c r="AG48" s="73"/>
      <c r="AH48" s="73"/>
      <c r="AI48" s="74"/>
      <c r="AJ48" s="74"/>
      <c r="AK48" s="75"/>
      <c r="AL48" s="73"/>
      <c r="AM48" s="72"/>
      <c r="AN48" s="73"/>
      <c r="AO48" s="73"/>
      <c r="AP48" s="73"/>
      <c r="AQ48" s="74"/>
      <c r="AR48" s="74"/>
      <c r="AS48" s="75"/>
      <c r="AT48" s="73"/>
      <c r="AU48" s="73"/>
      <c r="AV48" s="73"/>
      <c r="AW48" s="73"/>
      <c r="AX48" s="181"/>
      <c r="AY48" s="182"/>
      <c r="AZ48" s="182"/>
      <c r="BA48" s="182"/>
      <c r="BB48" s="183"/>
      <c r="BC48" s="183"/>
      <c r="BD48" s="184"/>
      <c r="BE48" s="72"/>
      <c r="BF48" s="73"/>
      <c r="BG48" s="73"/>
      <c r="BH48" s="73"/>
      <c r="BI48" s="74"/>
      <c r="BJ48" s="74"/>
      <c r="BK48" s="75"/>
      <c r="BL48" s="72"/>
      <c r="BM48" s="73"/>
      <c r="BN48" s="73"/>
      <c r="BO48" s="73"/>
      <c r="BP48" s="74"/>
      <c r="BQ48" s="74"/>
      <c r="BR48" s="75"/>
      <c r="BS48" s="73"/>
      <c r="BT48" s="72"/>
      <c r="BU48" s="73"/>
      <c r="BV48" s="73"/>
      <c r="BW48" s="73"/>
      <c r="BX48" s="74"/>
      <c r="BY48" s="74"/>
      <c r="BZ48" s="75"/>
      <c r="CA48" s="72"/>
      <c r="CB48" s="73"/>
      <c r="CC48" s="73"/>
      <c r="CD48" s="73"/>
      <c r="CE48" s="74"/>
      <c r="CF48" s="74"/>
      <c r="CG48" s="75"/>
    </row>
    <row r="49" spans="2:85" ht="14.5" x14ac:dyDescent="0.35">
      <c r="B49" s="33">
        <v>0.6</v>
      </c>
      <c r="C49" s="3">
        <v>6</v>
      </c>
      <c r="D49" s="27">
        <f>(X49*($T$11^$Q49))*Watts*CF_Altit</f>
        <v>0</v>
      </c>
      <c r="E49" s="3">
        <f>ROUND(((D49/Watts)/(($S$9-$S$10)*1.163))*$E$14,IF($X$4=1,0,IF($X$4=2,2)))</f>
        <v>0</v>
      </c>
      <c r="F49" s="30" t="e">
        <f>($Y$48*(E49/$E$14)^$Y$50)*$F$14</f>
        <v>#NUM!</v>
      </c>
      <c r="G49" s="4">
        <f>(Z49*($W$11^R49))*Watts*CF_Altit</f>
        <v>0</v>
      </c>
      <c r="H49" s="4">
        <f>((G49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49+0.001448)*(Tl_cool-Tavg_cold)+(0.016908*$C49-0.033574))*1.039&gt;1,1,1/(1+((2258*((0.622/(($Z$11/(1*611*EXP(17.27*(Tavg_cold/(Tavg_cold+237.3))))))-1)*1000-(0.622/(($Z$11/(RH*611*EXP(17.27*(Tl_cool/(Tl_cool+237.3))))))-1)*1000))/(1005*(Tavg_cold-Tl_cool))))*1.039+((-0.000729*$C49+0.001448)*(Tl_cool-Tavg_cold)+(0.016908*$C49-0.033574))*1.039))))*Watts</f>
        <v>0</v>
      </c>
      <c r="I49" s="3">
        <f>ROUND(((H49/Watts)/((Tr_cool-Tv_cool)*1.163))*$I$14,IF($X$4=1,0,IF($X$4=2,2)))</f>
        <v>0</v>
      </c>
      <c r="J49" s="5" t="e">
        <f>($AA$48*(I49/$I$14)^$AA$50)*$J$14</f>
        <v>#NUM!</v>
      </c>
      <c r="K49" s="59">
        <f>L49-8</f>
        <v>-8</v>
      </c>
      <c r="L49" s="53">
        <f t="shared" si="13"/>
        <v>0</v>
      </c>
      <c r="M49" s="46">
        <f t="shared" si="13"/>
        <v>0</v>
      </c>
      <c r="N49" s="64">
        <f>AD49*Cubics</f>
        <v>0</v>
      </c>
      <c r="O49" s="248" t="e">
        <f>((($D49/Watts)/(((p_atm*0.028964)/(8.31447*(20+273.15)))*(($N49/3600)/Cubics)*(1005+1870*((0.622)/(((p_atm)/($E$12*Pvs_Heat_in))-1)))))+Tl_heat)*Celc1+Celc2</f>
        <v>#DIV/0!</v>
      </c>
      <c r="P49" s="249" t="e">
        <f>(Tl_cool-(($G49/Watts)/(1006*$N49*kgss)))*Celc1+Celc2</f>
        <v>#DIV/0!</v>
      </c>
      <c r="Q49" s="215">
        <v>1</v>
      </c>
      <c r="R49" s="113">
        <f t="shared" si="8"/>
        <v>0</v>
      </c>
      <c r="S49" s="275"/>
      <c r="T49" s="276"/>
      <c r="U49" s="272"/>
      <c r="V49" s="276"/>
      <c r="W49" s="173" t="e">
        <f>(H49-G49)/H49</f>
        <v>#DIV/0!</v>
      </c>
      <c r="X49" s="123">
        <f t="shared" ref="X49:X70" si="14">IF($X$16=1,AE49,IF($X$16=2,AM49,IF($X$16=3,BL49,IF($X$16=4,BE49,IF($X$16=5,CA49,IF($X$16=6,BT49,IF($X$16=7,AX49,)))))))</f>
        <v>0</v>
      </c>
      <c r="Y49" s="119">
        <f t="shared" ref="Y49:Y70" si="15">IF($X$16=1,AF49,IF($X$16=2,AN49,IF($X$16=3,BM49,IF($X$16=4,BF49,IF($X$16=5,CB49,IF($X$16=6,BU49,IF($X$16=7,AY49,)))))))</f>
        <v>0</v>
      </c>
      <c r="Z49" s="124">
        <f t="shared" ref="Z49:Z70" si="16">IF($X$16=1,AG49,IF($X$16=2,AO49,IF($X$16=3,BN49,IF($X$16=4,BG49,IF($X$16=5,CC49,IF($X$16=6,BV49,IF($X$16=7,AZ49,)))))))</f>
        <v>0</v>
      </c>
      <c r="AA49" s="119">
        <f t="shared" ref="AA49:AA70" si="17">IF($X$16=1,AH49,IF($X$16=2,AP49,IF($X$16=3,BO49,IF($X$16=4,BH49,IF($X$16=5,CD49,IF($X$16=6,BW49,IF($X$16=7,BA49,)))))))</f>
        <v>0</v>
      </c>
      <c r="AB49" s="124">
        <f t="shared" ref="AB49:AB70" si="18">IF($X$16=1,AI49,IF($X$16=2,AQ49,IF($X$16=3,BP49,IF($X$16=4,BI49,IF($X$16=5,CE49,IF($X$16=6,BX49,IF($X$16=7,BB49,)))))))</f>
        <v>0</v>
      </c>
      <c r="AC49" s="124">
        <f t="shared" ref="AC49:AC70" si="19">IF($X$16=1,AJ49,IF($X$16=2,AR49,IF($X$16=3,BQ49,IF($X$16=4,BJ49,IF($X$16=5,CF49,IF($X$16=6,BY49,IF($X$16=7,BC49,)))))))</f>
        <v>0</v>
      </c>
      <c r="AD49" s="124">
        <f t="shared" ref="AD49:AD70" si="20">IF($X$16=1,AK49,IF($X$16=2,AS49,IF($X$16=3,BR49,IF($X$16=4,BK49,IF($X$16=5,CG49,IF($X$16=6,BZ49,IF($X$16=7,BD49,)))))))</f>
        <v>0</v>
      </c>
      <c r="AE49" s="72"/>
      <c r="AF49" s="68"/>
      <c r="AG49" s="73"/>
      <c r="AH49" s="68"/>
      <c r="AI49" s="74"/>
      <c r="AJ49" s="74"/>
      <c r="AK49" s="75"/>
      <c r="AL49" s="73"/>
      <c r="AM49" s="72"/>
      <c r="AN49" s="68"/>
      <c r="AO49" s="73"/>
      <c r="AP49" s="68"/>
      <c r="AQ49" s="74"/>
      <c r="AR49" s="74"/>
      <c r="AS49" s="75"/>
      <c r="AT49" s="73"/>
      <c r="AU49" s="73"/>
      <c r="AV49" s="73"/>
      <c r="AW49" s="73"/>
      <c r="AX49" s="181"/>
      <c r="AY49" s="177"/>
      <c r="AZ49" s="182"/>
      <c r="BA49" s="177"/>
      <c r="BB49" s="183"/>
      <c r="BC49" s="183"/>
      <c r="BD49" s="184"/>
      <c r="BE49" s="72"/>
      <c r="BF49" s="68"/>
      <c r="BG49" s="73"/>
      <c r="BH49" s="68"/>
      <c r="BI49" s="74"/>
      <c r="BJ49" s="74"/>
      <c r="BK49" s="75"/>
      <c r="BL49" s="72"/>
      <c r="BM49" s="68"/>
      <c r="BN49" s="73"/>
      <c r="BO49" s="68"/>
      <c r="BP49" s="74"/>
      <c r="BQ49" s="74"/>
      <c r="BR49" s="75"/>
      <c r="BS49" s="73"/>
      <c r="BT49" s="72"/>
      <c r="BU49" s="68"/>
      <c r="BV49" s="73"/>
      <c r="BW49" s="68"/>
      <c r="BX49" s="74"/>
      <c r="BY49" s="74"/>
      <c r="BZ49" s="75"/>
      <c r="CA49" s="72"/>
      <c r="CB49" s="68"/>
      <c r="CC49" s="73"/>
      <c r="CD49" s="68"/>
      <c r="CE49" s="74"/>
      <c r="CF49" s="74"/>
      <c r="CG49" s="75"/>
    </row>
    <row r="50" spans="2:85" ht="14.5" x14ac:dyDescent="0.35">
      <c r="B50" s="33">
        <v>0.8</v>
      </c>
      <c r="C50" s="3">
        <v>8</v>
      </c>
      <c r="D50" s="27">
        <f>(X50*($T$11^$Q50))*Watts*CF_Altit</f>
        <v>0</v>
      </c>
      <c r="E50" s="3">
        <f>ROUND(((D50/Watts)/(($S$9-$S$10)*1.163))*$E$14,IF($X$4=1,0,IF($X$4=2,2)))</f>
        <v>0</v>
      </c>
      <c r="F50" s="30" t="e">
        <f>($Y$48*(E50/$E$14)^$Y$50)*$F$14</f>
        <v>#NUM!</v>
      </c>
      <c r="G50" s="4">
        <f>(Z50*($W$11^R50))*Watts*CF_Altit</f>
        <v>0</v>
      </c>
      <c r="H50" s="4">
        <f>((G50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50+0.001448)*(Tl_cool-Tavg_cold)+(0.016908*$C50-0.033574))*1.039&gt;1,1,1/(1+((2258*((0.622/(($Z$11/(1*611*EXP(17.27*(Tavg_cold/(Tavg_cold+237.3))))))-1)*1000-(0.622/(($Z$11/(RH*611*EXP(17.27*(Tl_cool/(Tl_cool+237.3))))))-1)*1000))/(1005*(Tavg_cold-Tl_cool))))*1.039+((-0.000729*$C50+0.001448)*(Tl_cool-Tavg_cold)+(0.016908*$C50-0.033574))*1.039))))*Watts</f>
        <v>0</v>
      </c>
      <c r="I50" s="3">
        <f>ROUND(((H50/Watts)/((Tr_cool-Tv_cool)*1.163))*$I$14,IF($X$4=1,0,IF($X$4=2,2)))</f>
        <v>0</v>
      </c>
      <c r="J50" s="5" t="e">
        <f>($AA$48*(I50/$I$14)^$AA$50)*$J$14</f>
        <v>#NUM!</v>
      </c>
      <c r="K50" s="59">
        <f>L50-8</f>
        <v>-8</v>
      </c>
      <c r="L50" s="53">
        <f t="shared" si="13"/>
        <v>0</v>
      </c>
      <c r="M50" s="46">
        <f t="shared" si="13"/>
        <v>0</v>
      </c>
      <c r="N50" s="64">
        <f>AD50*Cubics</f>
        <v>0</v>
      </c>
      <c r="O50" s="248" t="e">
        <f>((($D50/Watts)/(((p_atm*0.028964)/(8.31447*(20+273.15)))*(($N50/3600)/Cubics)*(1005+1870*((0.622)/(((p_atm)/($E$12*Pvs_Heat_in))-1)))))+Tl_heat)*Celc1+Celc2</f>
        <v>#DIV/0!</v>
      </c>
      <c r="P50" s="249" t="e">
        <f>(Tl_cool-(($G50/Watts)/(1006*$N50*kgss)))*Celc1+Celc2</f>
        <v>#DIV/0!</v>
      </c>
      <c r="Q50" s="215">
        <v>1</v>
      </c>
      <c r="R50" s="113">
        <f t="shared" si="8"/>
        <v>0</v>
      </c>
      <c r="S50" s="275"/>
      <c r="T50" s="276"/>
      <c r="U50" s="272"/>
      <c r="V50" s="276"/>
      <c r="W50" s="173" t="e">
        <f>(H50-G50)/H50</f>
        <v>#DIV/0!</v>
      </c>
      <c r="X50" s="123">
        <f t="shared" si="14"/>
        <v>0</v>
      </c>
      <c r="Y50" s="124">
        <f t="shared" si="15"/>
        <v>0</v>
      </c>
      <c r="Z50" s="124">
        <f t="shared" si="16"/>
        <v>0</v>
      </c>
      <c r="AA50" s="124">
        <f t="shared" si="17"/>
        <v>0</v>
      </c>
      <c r="AB50" s="124">
        <f t="shared" si="18"/>
        <v>0</v>
      </c>
      <c r="AC50" s="124">
        <f t="shared" si="19"/>
        <v>0</v>
      </c>
      <c r="AD50" s="124">
        <f t="shared" si="20"/>
        <v>0</v>
      </c>
      <c r="AE50" s="72"/>
      <c r="AF50" s="73"/>
      <c r="AG50" s="73"/>
      <c r="AH50" s="73"/>
      <c r="AI50" s="74"/>
      <c r="AJ50" s="74"/>
      <c r="AK50" s="75"/>
      <c r="AL50" s="73"/>
      <c r="AM50" s="72"/>
      <c r="AN50" s="73"/>
      <c r="AO50" s="73"/>
      <c r="AP50" s="73"/>
      <c r="AQ50" s="74"/>
      <c r="AR50" s="74"/>
      <c r="AS50" s="75"/>
      <c r="AT50" s="73"/>
      <c r="AU50" s="73"/>
      <c r="AV50" s="73"/>
      <c r="AW50" s="73"/>
      <c r="AX50" s="181"/>
      <c r="AY50" s="182"/>
      <c r="AZ50" s="182"/>
      <c r="BA50" s="182"/>
      <c r="BB50" s="183"/>
      <c r="BC50" s="183"/>
      <c r="BD50" s="184"/>
      <c r="BE50" s="72"/>
      <c r="BF50" s="73"/>
      <c r="BG50" s="73"/>
      <c r="BH50" s="73"/>
      <c r="BI50" s="74"/>
      <c r="BJ50" s="74"/>
      <c r="BK50" s="75"/>
      <c r="BL50" s="72"/>
      <c r="BM50" s="73"/>
      <c r="BN50" s="73"/>
      <c r="BO50" s="73"/>
      <c r="BP50" s="74"/>
      <c r="BQ50" s="74"/>
      <c r="BR50" s="75"/>
      <c r="BS50" s="73"/>
      <c r="BT50" s="72"/>
      <c r="BU50" s="73"/>
      <c r="BV50" s="73"/>
      <c r="BW50" s="73"/>
      <c r="BX50" s="74"/>
      <c r="BY50" s="74"/>
      <c r="BZ50" s="75"/>
      <c r="CA50" s="72"/>
      <c r="CB50" s="73"/>
      <c r="CC50" s="73"/>
      <c r="CD50" s="73"/>
      <c r="CE50" s="74"/>
      <c r="CF50" s="74"/>
      <c r="CG50" s="75"/>
    </row>
    <row r="51" spans="2:85" ht="14.5" x14ac:dyDescent="0.35">
      <c r="B51" s="33">
        <v>1</v>
      </c>
      <c r="C51" s="3">
        <v>10</v>
      </c>
      <c r="D51" s="27">
        <f>(X51*($T$11^$Q51))*Watts*CF_Altit</f>
        <v>0</v>
      </c>
      <c r="E51" s="3">
        <f>ROUND(((D51/Watts)/(($S$9-$S$10)*1.163))*$E$14,IF($X$4=1,0,IF($X$4=2,2)))</f>
        <v>0</v>
      </c>
      <c r="F51" s="30" t="e">
        <f>($Y$48*(E51/$E$14)^$Y$50)*$F$14</f>
        <v>#NUM!</v>
      </c>
      <c r="G51" s="4">
        <f>(Z51*($W$11^R51))*Watts*CF_Altit</f>
        <v>0</v>
      </c>
      <c r="H51" s="4">
        <f>((G51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51+0.001448)*(Tl_cool-Tavg_cold)+(0.016908*$C51-0.033574))*1.039&gt;1,1,1/(1+((2258*((0.622/(($Z$11/(1*611*EXP(17.27*(Tavg_cold/(Tavg_cold+237.3))))))-1)*1000-(0.622/(($Z$11/(RH*611*EXP(17.27*(Tl_cool/(Tl_cool+237.3))))))-1)*1000))/(1005*(Tavg_cold-Tl_cool))))*1.039+((-0.000729*$C51+0.001448)*(Tl_cool-Tavg_cold)+(0.016908*$C51-0.033574))*1.039))))*Watts</f>
        <v>0</v>
      </c>
      <c r="I51" s="3">
        <f>ROUND(((H51/Watts)/((Tr_cool-Tv_cool)*1.163))*$I$14,IF($X$4=1,0,IF($X$4=2,2)))</f>
        <v>0</v>
      </c>
      <c r="J51" s="5" t="e">
        <f>($AA$48*(I51/$I$14)^$AA$50)*$J$14</f>
        <v>#NUM!</v>
      </c>
      <c r="K51" s="59">
        <f>L51-8</f>
        <v>-8</v>
      </c>
      <c r="L51" s="53">
        <f t="shared" si="13"/>
        <v>0</v>
      </c>
      <c r="M51" s="46">
        <f t="shared" si="13"/>
        <v>0</v>
      </c>
      <c r="N51" s="64">
        <f>AD51*Cubics</f>
        <v>0</v>
      </c>
      <c r="O51" s="248" t="e">
        <f>((($D51/Watts)/(((p_atm*0.028964)/(8.31447*(20+273.15)))*(($N51/3600)/Cubics)*(1005+1870*((0.622)/(((p_atm)/($E$12*Pvs_Heat_in))-1)))))+Tl_heat)*Celc1+Celc2</f>
        <v>#DIV/0!</v>
      </c>
      <c r="P51" s="249" t="e">
        <f>(Tl_cool-(($G51/Watts)/(1006*$N51*kgss)))*Celc1+Celc2</f>
        <v>#DIV/0!</v>
      </c>
      <c r="Q51" s="215">
        <v>1</v>
      </c>
      <c r="R51" s="113">
        <f t="shared" si="8"/>
        <v>0</v>
      </c>
      <c r="S51" s="275"/>
      <c r="T51" s="276"/>
      <c r="U51" s="272"/>
      <c r="V51" s="276"/>
      <c r="W51" s="173" t="e">
        <f>(H51-G51)/H51</f>
        <v>#DIV/0!</v>
      </c>
      <c r="X51" s="123">
        <f t="shared" si="14"/>
        <v>0</v>
      </c>
      <c r="Y51" s="140">
        <f t="shared" si="15"/>
        <v>0</v>
      </c>
      <c r="Z51" s="129">
        <f t="shared" si="16"/>
        <v>0</v>
      </c>
      <c r="AA51" s="140">
        <f t="shared" si="17"/>
        <v>0</v>
      </c>
      <c r="AB51" s="129">
        <f t="shared" si="18"/>
        <v>0</v>
      </c>
      <c r="AC51" s="129">
        <f t="shared" si="19"/>
        <v>0</v>
      </c>
      <c r="AD51" s="129">
        <f t="shared" si="20"/>
        <v>0</v>
      </c>
      <c r="AE51" s="76"/>
      <c r="AF51" s="77"/>
      <c r="AG51" s="78"/>
      <c r="AH51" s="77"/>
      <c r="AI51" s="79"/>
      <c r="AJ51" s="79"/>
      <c r="AK51" s="80"/>
      <c r="AL51" s="78"/>
      <c r="AM51" s="76"/>
      <c r="AN51" s="77"/>
      <c r="AO51" s="78"/>
      <c r="AP51" s="77"/>
      <c r="AQ51" s="79"/>
      <c r="AR51" s="79"/>
      <c r="AS51" s="80"/>
      <c r="AT51" s="73"/>
      <c r="AU51" s="73"/>
      <c r="AV51" s="73"/>
      <c r="AW51" s="73"/>
      <c r="AX51" s="185"/>
      <c r="AY51" s="186"/>
      <c r="AZ51" s="187"/>
      <c r="BA51" s="186"/>
      <c r="BB51" s="188"/>
      <c r="BC51" s="188"/>
      <c r="BD51" s="189"/>
      <c r="BE51" s="76"/>
      <c r="BF51" s="77"/>
      <c r="BG51" s="78"/>
      <c r="BH51" s="77"/>
      <c r="BI51" s="79"/>
      <c r="BJ51" s="79"/>
      <c r="BK51" s="80"/>
      <c r="BL51" s="76"/>
      <c r="BM51" s="77"/>
      <c r="BN51" s="78"/>
      <c r="BO51" s="77"/>
      <c r="BP51" s="79"/>
      <c r="BQ51" s="79"/>
      <c r="BR51" s="80"/>
      <c r="BS51" s="73"/>
      <c r="BT51" s="76"/>
      <c r="BU51" s="77"/>
      <c r="BV51" s="78"/>
      <c r="BW51" s="77"/>
      <c r="BX51" s="79"/>
      <c r="BY51" s="79"/>
      <c r="BZ51" s="80"/>
      <c r="CA51" s="76"/>
      <c r="CB51" s="77"/>
      <c r="CC51" s="78"/>
      <c r="CD51" s="77"/>
      <c r="CE51" s="79"/>
      <c r="CF51" s="79"/>
      <c r="CG51" s="80"/>
    </row>
    <row r="52" spans="2:85" ht="14.5" x14ac:dyDescent="0.35">
      <c r="B52" s="337" t="str">
        <f>IF($S$7=1,NL!A51,IF(cal!$S$7=2,EN!A51,IF(cal!$S$7=3,DE!A51,IF(cal!$S$7=4,FR!A51,IF(cal!$S$7=5,NR!A51,IF(cal!$S$7=6,SP!A51,IF(cal!$S$7=7,SW!A51,IF(cal!$S$7=8,TS!A51,IF(cal!$S$7=9,ExtraTaal1!A51,IF(cal!$S$7=10,ExtraTaal2!A51,IF(cal!$S$7=11,ExtraTaal3!A51,)))))))))))</f>
        <v>Freedom height 0 cm width 0 cm length 0 cm (Type 7)</v>
      </c>
      <c r="C52" s="338">
        <f>IF($S$7=1,NL!B51,IF(cal!$S$7=2,EN!B51,IF(cal!$S$7=3,DE!B51,IF(cal!$S$7=4,FR!B51,IF(cal!$S$7=5,NR!B51,IF(cal!$S$7=6,SP!B51,IF(cal!$S$7=7,SW!B51,IF(cal!$S$7=8,TS!B51,IF(cal!$S$7=9,ExtraTaal1!B51,IF(cal!$S$7=10,ExtraTaal2!B51,IF(cal!$S$7=11,ExtraTaal3!B51,)))))))))))</f>
        <v>0</v>
      </c>
      <c r="D52" s="338">
        <f>IF($S$7=1,NL!C51,IF(cal!$S$7=2,EN!C51,IF(cal!$S$7=3,DE!C51,IF(cal!$S$7=4,FR!C51,IF(cal!$S$7=5,NR!C51,IF(cal!$S$7=6,SP!C51,IF(cal!$S$7=7,SW!C51,IF(cal!$S$7=8,TS!C51,IF(cal!$S$7=9,ExtraTaal1!C51,IF(cal!$S$7=10,ExtraTaal2!C51,IF(cal!$S$7=11,ExtraTaal3!C51,)))))))))))</f>
        <v>0</v>
      </c>
      <c r="E52" s="338">
        <f>IF($S$7=1,NL!D51,IF(cal!$S$7=2,EN!D51,IF(cal!$S$7=3,DE!D51,IF(cal!$S$7=4,FR!D51,IF(cal!$S$7=5,NR!D51,IF(cal!$S$7=6,SP!D51,IF(cal!$S$7=7,SW!D51,IF(cal!$S$7=8,TS!D51,IF(cal!$S$7=9,ExtraTaal1!D51,IF(cal!$S$7=10,ExtraTaal2!D51,IF(cal!$S$7=11,ExtraTaal3!D51,)))))))))))</f>
        <v>0</v>
      </c>
      <c r="F52" s="338">
        <f>IF($S$7=1,NL!E51,IF(cal!$S$7=2,EN!E51,IF(cal!$S$7=3,DE!E51,IF(cal!$S$7=4,FR!E51,IF(cal!$S$7=5,NR!E51,IF(cal!$S$7=6,SP!E51,IF(cal!$S$7=7,SW!E51,IF(cal!$S$7=8,TS!E51,IF(cal!$S$7=9,ExtraTaal1!E51,IF(cal!$S$7=10,ExtraTaal2!E51,IF(cal!$S$7=11,ExtraTaal3!E51,)))))))))))</f>
        <v>0</v>
      </c>
      <c r="G52" s="338">
        <f>IF($S$7=1,NL!F51,IF(cal!$S$7=2,EN!F51,IF(cal!$S$7=3,DE!F51,IF(cal!$S$7=4,FR!F51,IF(cal!$S$7=5,NR!F51,IF(cal!$S$7=6,SP!F51,IF(cal!$S$7=7,SW!F51,IF(cal!$S$7=8,TS!F51,IF(cal!$S$7=9,ExtraTaal1!F51,IF(cal!$S$7=10,ExtraTaal2!F51,IF(cal!$S$7=11,ExtraTaal3!F51,)))))))))))</f>
        <v>0</v>
      </c>
      <c r="H52" s="338">
        <f>IF($S$7=1,NL!G51,IF(cal!$S$7=2,EN!G51,IF(cal!$S$7=3,DE!G51,IF(cal!$S$7=4,FR!G51,IF(cal!$S$7=5,NR!G51,IF(cal!$S$7=6,SP!G51,IF(cal!$S$7=7,SW!G51,IF(cal!$S$7=8,TS!G51,IF(cal!$S$7=9,ExtraTaal1!G51,IF(cal!$S$7=10,ExtraTaal2!G51,IF(cal!$S$7=11,ExtraTaal3!G51,)))))))))))</f>
        <v>0</v>
      </c>
      <c r="I52" s="338">
        <f>IF($S$7=1,NL!H51,IF(cal!$S$7=2,EN!H51,IF(cal!$S$7=3,DE!H51,IF(cal!$S$7=4,FR!H51,IF(cal!$S$7=5,NR!H51,IF(cal!$S$7=6,SP!H51,IF(cal!$S$7=7,SW!H51,IF(cal!$S$7=8,TS!H51,IF(cal!$S$7=9,ExtraTaal1!H51,IF(cal!$S$7=10,ExtraTaal2!H51,IF(cal!$S$7=11,ExtraTaal3!H51,)))))))))))</f>
        <v>0</v>
      </c>
      <c r="J52" s="338">
        <f>IF($S$7=1,NL!I51,IF(cal!$S$7=2,EN!I51,IF(cal!$S$7=3,DE!I51,IF(cal!$S$7=4,FR!I51,IF(cal!$S$7=5,NR!I51,IF(cal!$S$7=6,SP!I51,IF(cal!$S$7=7,SW!I51,IF(cal!$S$7=8,TS!I51,IF(cal!$S$7=9,ExtraTaal1!I51,IF(cal!$S$7=10,ExtraTaal2!I51,IF(cal!$S$7=11,ExtraTaal3!I51,)))))))))))</f>
        <v>0</v>
      </c>
      <c r="K52" s="338">
        <f>IF($S$7=1,NL!J51,IF(cal!$S$7=2,EN!J51,IF(cal!$S$7=3,DE!J51,IF(cal!$S$7=4,FR!J51,IF(cal!$S$7=5,NR!J51,IF(cal!$S$7=6,SP!J51,IF(cal!$S$7=7,SW!J51,IF(cal!$S$7=8,TS!J51,IF(cal!$S$7=9,ExtraTaal1!J51,IF(cal!$S$7=10,ExtraTaal2!J51,IF(cal!$S$7=11,ExtraTaal3!J51,)))))))))))</f>
        <v>0</v>
      </c>
      <c r="L52" s="338">
        <f>IF($S$7=1,NL!K51,IF(cal!$S$7=2,EN!K51,IF(cal!$S$7=3,DE!K51,IF(cal!$S$7=4,FR!K51,IF(cal!$S$7=5,NR!K51,IF(cal!$S$7=6,SP!K51,IF(cal!$S$7=7,SW!K51,IF(cal!$S$7=8,TS!K51,IF(cal!$S$7=9,ExtraTaal1!K51,IF(cal!$S$7=10,ExtraTaal2!K51,IF(cal!$S$7=11,ExtraTaal3!K51,)))))))))))</f>
        <v>0</v>
      </c>
      <c r="M52" s="338">
        <f>IF($S$7=1,NL!L51,IF(cal!$S$7=2,EN!L51,IF(cal!$S$7=3,DE!L51,IF(cal!$S$7=4,FR!L51,IF(cal!$S$7=5,NR!L51,IF(cal!$S$7=6,SP!L51,IF(cal!$S$7=7,SW!L51,IF(cal!$S$7=8,TS!L51,IF(cal!$S$7=9,ExtraTaal1!L51,IF(cal!$S$7=10,ExtraTaal2!L51,IF(cal!$S$7=11,ExtraTaal3!L51,)))))))))))</f>
        <v>0</v>
      </c>
      <c r="N52" s="338">
        <f>IF($S$7=1,NL!M51,IF(cal!$S$7=2,EN!M51,IF(cal!$S$7=3,DE!M51,IF(cal!$S$7=4,FR!M51,IF(cal!$S$7=5,NR!M51,IF(cal!$S$7=6,SP!M51,IF(cal!$S$7=7,SW!M51,IF(cal!$S$7=8,TS!M51,IF(cal!$S$7=9,ExtraTaal1!M51,IF(cal!$S$7=10,ExtraTaal2!M51,IF(cal!$S$7=11,ExtraTaal3!M51,)))))))))))</f>
        <v>0</v>
      </c>
      <c r="O52" s="338">
        <f>IF($S$7=1,NL!N51,IF(cal!$S$7=2,EN!N51,IF(cal!$S$7=3,DE!N51,IF(cal!$S$7=4,FR!N51,IF(cal!$S$7=5,NR!N51,IF(cal!$S$7=6,SP!N51,IF(cal!$S$7=7,SW!N51,IF(cal!$S$7=8,TS!N51,IF(cal!$S$7=9,ExtraTaal1!N51,IF(cal!$S$7=10,ExtraTaal2!N51,IF(cal!$S$7=11,ExtraTaal3!N51,)))))))))))</f>
        <v>0</v>
      </c>
      <c r="P52" s="339">
        <f>IF($S$7=1,NL!O51,IF(cal!$S$7=2,EN!O51,IF(cal!$S$7=3,DE!O51,IF(cal!$S$7=4,FR!O51,IF(cal!$S$7=5,NR!O51,IF(cal!$S$7=6,SP!O51,IF(cal!$S$7=7,SW!O51,IF(cal!$S$7=8,TS!O51,IF(cal!$S$7=9,ExtraTaal1!O51,IF(cal!$S$7=10,ExtraTaal2!O51,IF(cal!$S$7=11,ExtraTaal3!O51,)))))))))))</f>
        <v>0</v>
      </c>
      <c r="Q52" s="204" t="s">
        <v>11</v>
      </c>
      <c r="R52" s="193">
        <f t="shared" si="8"/>
        <v>0</v>
      </c>
      <c r="S52" s="277"/>
      <c r="T52" s="278"/>
      <c r="U52" s="279"/>
      <c r="V52" s="278"/>
      <c r="W52" s="173"/>
      <c r="X52" s="132">
        <f t="shared" si="14"/>
        <v>0</v>
      </c>
      <c r="Y52" s="147">
        <f t="shared" si="15"/>
        <v>0</v>
      </c>
      <c r="Z52" s="132">
        <f t="shared" si="16"/>
        <v>0</v>
      </c>
      <c r="AA52" s="147">
        <f t="shared" si="17"/>
        <v>0</v>
      </c>
      <c r="AB52" s="132">
        <f t="shared" si="18"/>
        <v>0</v>
      </c>
      <c r="AC52" s="137">
        <f t="shared" si="19"/>
        <v>0</v>
      </c>
      <c r="AD52" s="135">
        <f t="shared" si="20"/>
        <v>0</v>
      </c>
      <c r="AE52" s="83"/>
      <c r="AF52" s="84"/>
      <c r="AG52" s="83"/>
      <c r="AH52" s="84"/>
      <c r="AI52" s="83"/>
      <c r="AJ52" s="84"/>
      <c r="AK52" s="82"/>
      <c r="AL52" s="82"/>
      <c r="AM52" s="83"/>
      <c r="AN52" s="84"/>
      <c r="AO52" s="83"/>
      <c r="AP52" s="84"/>
      <c r="AQ52" s="83"/>
      <c r="AR52" s="84"/>
      <c r="AS52" s="82"/>
      <c r="AT52" s="86"/>
      <c r="AU52" s="86"/>
      <c r="AV52" s="86"/>
      <c r="AW52" s="86"/>
      <c r="AX52" s="190"/>
      <c r="AY52" s="191"/>
      <c r="AZ52" s="190"/>
      <c r="BA52" s="191"/>
      <c r="BB52" s="190"/>
      <c r="BC52" s="191"/>
      <c r="BD52" s="192"/>
      <c r="BE52" s="83"/>
      <c r="BF52" s="84"/>
      <c r="BG52" s="83"/>
      <c r="BH52" s="84"/>
      <c r="BI52" s="83"/>
      <c r="BJ52" s="84"/>
      <c r="BK52" s="82"/>
      <c r="BL52" s="83"/>
      <c r="BM52" s="84"/>
      <c r="BN52" s="83"/>
      <c r="BO52" s="84"/>
      <c r="BP52" s="83"/>
      <c r="BQ52" s="84"/>
      <c r="BR52" s="82"/>
      <c r="BS52" s="86"/>
      <c r="BT52" s="83"/>
      <c r="BU52" s="84"/>
      <c r="BV52" s="83"/>
      <c r="BW52" s="84"/>
      <c r="BX52" s="83"/>
      <c r="BY52" s="84"/>
      <c r="BZ52" s="82"/>
      <c r="CA52" s="83"/>
      <c r="CB52" s="84"/>
      <c r="CC52" s="83"/>
      <c r="CD52" s="84"/>
      <c r="CE52" s="83"/>
      <c r="CF52" s="84"/>
      <c r="CG52" s="82"/>
    </row>
    <row r="53" spans="2:85" ht="14.5" x14ac:dyDescent="0.35">
      <c r="B53" s="33">
        <v>0.2</v>
      </c>
      <c r="C53" s="3">
        <v>2</v>
      </c>
      <c r="D53" s="27">
        <f>(X53*($T$11^$Q53))*Watts*CF_Altit</f>
        <v>0</v>
      </c>
      <c r="E53" s="3">
        <f>ROUND(((D53/Watts)/(($S$9-$S$10)*1.163))*$E$14,IF($X$4=1,0,IF($X$4=2,2)))</f>
        <v>0</v>
      </c>
      <c r="F53" s="30" t="e">
        <f>($Y$54*(E53/$E$14)^$Y$56)*$F$14</f>
        <v>#NUM!</v>
      </c>
      <c r="G53" s="4">
        <f>(Z53*($W$11^R53))*Watts*CF_Altit</f>
        <v>0</v>
      </c>
      <c r="H53" s="4">
        <f>((G53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53+0.001448)*(Tl_cool-Tavg_cold)+(0.016908*$C53-0.033574))*1.039&gt;1,1,1/(1+((2258*((0.622/(($Z$11/(1*611*EXP(17.27*(Tavg_cold/(Tavg_cold+237.3))))))-1)*1000-(0.622/(($Z$11/(RH*611*EXP(17.27*(Tl_cool/(Tl_cool+237.3))))))-1)*1000))/(1005*(Tavg_cold-Tl_cool))))*1.039+((-0.000729*$C53+0.001448)*(Tl_cool-Tavg_cold)+(0.016908*$C53-0.033574))*1.039))))*Watts</f>
        <v>0</v>
      </c>
      <c r="I53" s="3">
        <f>ROUND(((H53/Watts)/((Tr_cool-Tv_cool)*1.163))*$I$14,IF($X$4=1,0,IF($X$4=2,2)))</f>
        <v>0</v>
      </c>
      <c r="J53" s="5" t="e">
        <f>($AA$54*(I53/$I$14)^$AA$56)*$J$14</f>
        <v>#NUM!</v>
      </c>
      <c r="K53" s="59">
        <f>L53-8</f>
        <v>-8</v>
      </c>
      <c r="L53" s="53">
        <f t="shared" ref="L53:M57" si="21">AB53</f>
        <v>0</v>
      </c>
      <c r="M53" s="46">
        <f t="shared" si="21"/>
        <v>0</v>
      </c>
      <c r="N53" s="64">
        <f>AD53*Cubics</f>
        <v>0</v>
      </c>
      <c r="O53" s="246" t="e">
        <f>((($D53/Watts)/(((p_atm*0.028964)/(8.31447*(20+273.15)))*(($N53/3600)/Cubics)*(1005+1870*((0.622)/(((p_atm)/($E$12*Pvs_Heat_in))-1)))))+Tl_heat)*Celc1+Celc2</f>
        <v>#DIV/0!</v>
      </c>
      <c r="P53" s="247" t="e">
        <f>(Tl_cool-(($G53/Watts)/(1006*$N53*kgss)))*Celc1+Celc2</f>
        <v>#DIV/0!</v>
      </c>
      <c r="Q53" s="215">
        <v>1</v>
      </c>
      <c r="R53" s="113">
        <f t="shared" si="8"/>
        <v>0</v>
      </c>
      <c r="S53" s="275"/>
      <c r="T53" s="276"/>
      <c r="U53" s="272"/>
      <c r="V53" s="276"/>
      <c r="W53" s="173" t="e">
        <f>(H53-G53)/H53</f>
        <v>#DIV/0!</v>
      </c>
      <c r="X53" s="118">
        <f t="shared" si="14"/>
        <v>0</v>
      </c>
      <c r="Y53" s="119">
        <f t="shared" si="15"/>
        <v>0</v>
      </c>
      <c r="Z53" s="120">
        <f t="shared" si="16"/>
        <v>0</v>
      </c>
      <c r="AA53" s="119">
        <f t="shared" si="17"/>
        <v>0</v>
      </c>
      <c r="AB53" s="120">
        <f t="shared" si="18"/>
        <v>0</v>
      </c>
      <c r="AC53" s="120">
        <f t="shared" si="19"/>
        <v>0</v>
      </c>
      <c r="AD53" s="120">
        <f t="shared" si="20"/>
        <v>0</v>
      </c>
      <c r="AE53" s="67"/>
      <c r="AF53" s="68"/>
      <c r="AG53" s="69"/>
      <c r="AH53" s="68"/>
      <c r="AI53" s="70"/>
      <c r="AJ53" s="70"/>
      <c r="AK53" s="71"/>
      <c r="AL53" s="69"/>
      <c r="AM53" s="67"/>
      <c r="AN53" s="68"/>
      <c r="AO53" s="69"/>
      <c r="AP53" s="68"/>
      <c r="AQ53" s="70"/>
      <c r="AR53" s="70"/>
      <c r="AS53" s="71"/>
      <c r="AT53" s="73"/>
      <c r="AU53" s="73"/>
      <c r="AV53" s="73"/>
      <c r="AW53" s="73"/>
      <c r="AX53" s="176"/>
      <c r="AY53" s="177"/>
      <c r="AZ53" s="178"/>
      <c r="BA53" s="177"/>
      <c r="BB53" s="179"/>
      <c r="BC53" s="179"/>
      <c r="BD53" s="180"/>
      <c r="BE53" s="67"/>
      <c r="BF53" s="68"/>
      <c r="BG53" s="69"/>
      <c r="BH53" s="68"/>
      <c r="BI53" s="70"/>
      <c r="BJ53" s="70"/>
      <c r="BK53" s="71"/>
      <c r="BL53" s="67"/>
      <c r="BM53" s="68"/>
      <c r="BN53" s="69"/>
      <c r="BO53" s="68"/>
      <c r="BP53" s="70"/>
      <c r="BQ53" s="70"/>
      <c r="BR53" s="71"/>
      <c r="BS53" s="73"/>
      <c r="BT53" s="67"/>
      <c r="BU53" s="68"/>
      <c r="BV53" s="69"/>
      <c r="BW53" s="68"/>
      <c r="BX53" s="70"/>
      <c r="BY53" s="70"/>
      <c r="BZ53" s="71"/>
      <c r="CA53" s="67"/>
      <c r="CB53" s="68"/>
      <c r="CC53" s="69"/>
      <c r="CD53" s="68"/>
      <c r="CE53" s="70"/>
      <c r="CF53" s="70"/>
      <c r="CG53" s="71"/>
    </row>
    <row r="54" spans="2:85" ht="14.5" x14ac:dyDescent="0.35">
      <c r="B54" s="33">
        <v>0.4</v>
      </c>
      <c r="C54" s="3">
        <v>4</v>
      </c>
      <c r="D54" s="27">
        <f>(X54*($T$11^$Q54))*Watts*CF_Altit</f>
        <v>0</v>
      </c>
      <c r="E54" s="3">
        <f>ROUND(((D54/Watts)/(($S$9-$S$10)*1.163))*$E$14,IF($X$4=1,0,IF($X$4=2,2)))</f>
        <v>0</v>
      </c>
      <c r="F54" s="30" t="e">
        <f>($Y$54*(E54/$E$14)^$Y$56)*$F$14</f>
        <v>#NUM!</v>
      </c>
      <c r="G54" s="4">
        <f>(Z54*($W$11^R54))*Watts*CF_Altit</f>
        <v>0</v>
      </c>
      <c r="H54" s="4">
        <f>((G54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54+0.001448)*(Tl_cool-Tavg_cold)+(0.016908*$C54-0.033574))*1.039&gt;1,1,1/(1+((2258*((0.622/(($Z$11/(1*611*EXP(17.27*(Tavg_cold/(Tavg_cold+237.3))))))-1)*1000-(0.622/(($Z$11/(RH*611*EXP(17.27*(Tl_cool/(Tl_cool+237.3))))))-1)*1000))/(1005*(Tavg_cold-Tl_cool))))*1.039+((-0.000729*$C54+0.001448)*(Tl_cool-Tavg_cold)+(0.016908*$C54-0.033574))*1.039))))*Watts</f>
        <v>0</v>
      </c>
      <c r="I54" s="3">
        <f>ROUND(((H54/Watts)/((Tr_cool-Tv_cool)*1.163))*$I$14,IF($X$4=1,0,IF($X$4=2,2)))</f>
        <v>0</v>
      </c>
      <c r="J54" s="5" t="e">
        <f>($AA$54*(I54/$I$14)^$AA$56)*$J$14</f>
        <v>#NUM!</v>
      </c>
      <c r="K54" s="59">
        <f>L54-8</f>
        <v>-8</v>
      </c>
      <c r="L54" s="53">
        <f t="shared" si="21"/>
        <v>0</v>
      </c>
      <c r="M54" s="46">
        <f t="shared" si="21"/>
        <v>0</v>
      </c>
      <c r="N54" s="64">
        <f>AD54*Cubics</f>
        <v>0</v>
      </c>
      <c r="O54" s="248" t="e">
        <f>((($D54/Watts)/(((p_atm*0.028964)/(8.31447*(20+273.15)))*(($N54/3600)/Cubics)*(1005+1870*((0.622)/(((p_atm)/($E$12*Pvs_Heat_in))-1)))))+Tl_heat)*Celc1+Celc2</f>
        <v>#DIV/0!</v>
      </c>
      <c r="P54" s="249" t="e">
        <f>(Tl_cool-(($G54/Watts)/(1006*$N54*kgss)))*Celc1+Celc2</f>
        <v>#DIV/0!</v>
      </c>
      <c r="Q54" s="215">
        <v>1</v>
      </c>
      <c r="R54" s="113">
        <f t="shared" si="8"/>
        <v>0</v>
      </c>
      <c r="S54" s="275"/>
      <c r="T54" s="276"/>
      <c r="U54" s="272"/>
      <c r="V54" s="276"/>
      <c r="W54" s="173" t="e">
        <f>(H54-G54)/H54</f>
        <v>#DIV/0!</v>
      </c>
      <c r="X54" s="123">
        <f t="shared" si="14"/>
        <v>0</v>
      </c>
      <c r="Y54" s="124">
        <f t="shared" si="15"/>
        <v>0</v>
      </c>
      <c r="Z54" s="124">
        <f t="shared" si="16"/>
        <v>0</v>
      </c>
      <c r="AA54" s="124">
        <f t="shared" si="17"/>
        <v>0</v>
      </c>
      <c r="AB54" s="124">
        <f t="shared" si="18"/>
        <v>0</v>
      </c>
      <c r="AC54" s="124">
        <f t="shared" si="19"/>
        <v>0</v>
      </c>
      <c r="AD54" s="124">
        <f t="shared" si="20"/>
        <v>0</v>
      </c>
      <c r="AE54" s="72"/>
      <c r="AF54" s="73"/>
      <c r="AG54" s="73"/>
      <c r="AH54" s="73"/>
      <c r="AI54" s="74"/>
      <c r="AJ54" s="74"/>
      <c r="AK54" s="75"/>
      <c r="AL54" s="73"/>
      <c r="AM54" s="72"/>
      <c r="AN54" s="73"/>
      <c r="AO54" s="73"/>
      <c r="AP54" s="73"/>
      <c r="AQ54" s="74"/>
      <c r="AR54" s="74"/>
      <c r="AS54" s="75"/>
      <c r="AT54" s="73"/>
      <c r="AU54" s="73"/>
      <c r="AV54" s="73"/>
      <c r="AW54" s="73"/>
      <c r="AX54" s="181"/>
      <c r="AY54" s="182"/>
      <c r="AZ54" s="182"/>
      <c r="BA54" s="182"/>
      <c r="BB54" s="183"/>
      <c r="BC54" s="183"/>
      <c r="BD54" s="184"/>
      <c r="BE54" s="72"/>
      <c r="BF54" s="73"/>
      <c r="BG54" s="73"/>
      <c r="BH54" s="73"/>
      <c r="BI54" s="74"/>
      <c r="BJ54" s="74"/>
      <c r="BK54" s="75"/>
      <c r="BL54" s="72"/>
      <c r="BM54" s="73"/>
      <c r="BN54" s="73"/>
      <c r="BO54" s="73"/>
      <c r="BP54" s="74"/>
      <c r="BQ54" s="74"/>
      <c r="BR54" s="75"/>
      <c r="BS54" s="73"/>
      <c r="BT54" s="72"/>
      <c r="BU54" s="73"/>
      <c r="BV54" s="73"/>
      <c r="BW54" s="73"/>
      <c r="BX54" s="74"/>
      <c r="BY54" s="74"/>
      <c r="BZ54" s="75"/>
      <c r="CA54" s="72"/>
      <c r="CB54" s="73"/>
      <c r="CC54" s="73"/>
      <c r="CD54" s="73"/>
      <c r="CE54" s="74"/>
      <c r="CF54" s="74"/>
      <c r="CG54" s="75"/>
    </row>
    <row r="55" spans="2:85" ht="14.5" x14ac:dyDescent="0.35">
      <c r="B55" s="33">
        <v>0.6</v>
      </c>
      <c r="C55" s="3">
        <v>6</v>
      </c>
      <c r="D55" s="27">
        <f>(X55*($T$11^$Q55))*Watts*CF_Altit</f>
        <v>0</v>
      </c>
      <c r="E55" s="3">
        <f>ROUND(((D55/Watts)/(($S$9-$S$10)*1.163))*$E$14,IF($X$4=1,0,IF($X$4=2,2)))</f>
        <v>0</v>
      </c>
      <c r="F55" s="30" t="e">
        <f>($Y$54*(E55/$E$14)^$Y$56)*$F$14</f>
        <v>#NUM!</v>
      </c>
      <c r="G55" s="4">
        <f>(Z55*($W$11^R55))*Watts*CF_Altit</f>
        <v>0</v>
      </c>
      <c r="H55" s="4">
        <f>((G55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55+0.001448)*(Tl_cool-Tavg_cold)+(0.016908*$C55-0.033574))*1.039&gt;1,1,1/(1+((2258*((0.622/(($Z$11/(1*611*EXP(17.27*(Tavg_cold/(Tavg_cold+237.3))))))-1)*1000-(0.622/(($Z$11/(RH*611*EXP(17.27*(Tl_cool/(Tl_cool+237.3))))))-1)*1000))/(1005*(Tavg_cold-Tl_cool))))*1.039+((-0.000729*$C55+0.001448)*(Tl_cool-Tavg_cold)+(0.016908*$C55-0.033574))*1.039))))*Watts</f>
        <v>0</v>
      </c>
      <c r="I55" s="3">
        <f>ROUND(((H55/Watts)/((Tr_cool-Tv_cool)*1.163))*$I$14,IF($X$4=1,0,IF($X$4=2,2)))</f>
        <v>0</v>
      </c>
      <c r="J55" s="5" t="e">
        <f>($AA$54*(I55/$I$14)^$AA$56)*$J$14</f>
        <v>#NUM!</v>
      </c>
      <c r="K55" s="59">
        <f>L55-8</f>
        <v>-8</v>
      </c>
      <c r="L55" s="53">
        <f t="shared" si="21"/>
        <v>0</v>
      </c>
      <c r="M55" s="46">
        <f t="shared" si="21"/>
        <v>0</v>
      </c>
      <c r="N55" s="64">
        <f>AD55*Cubics</f>
        <v>0</v>
      </c>
      <c r="O55" s="248" t="e">
        <f>((($D55/Watts)/(((p_atm*0.028964)/(8.31447*(20+273.15)))*(($N55/3600)/Cubics)*(1005+1870*((0.622)/(((p_atm)/($E$12*Pvs_Heat_in))-1)))))+Tl_heat)*Celc1+Celc2</f>
        <v>#DIV/0!</v>
      </c>
      <c r="P55" s="249" t="e">
        <f>(Tl_cool-(($G55/Watts)/(1006*$N55*kgss)))*Celc1+Celc2</f>
        <v>#DIV/0!</v>
      </c>
      <c r="Q55" s="215">
        <v>1</v>
      </c>
      <c r="R55" s="113">
        <f t="shared" si="8"/>
        <v>0</v>
      </c>
      <c r="S55" s="275"/>
      <c r="T55" s="276"/>
      <c r="U55" s="272"/>
      <c r="V55" s="276"/>
      <c r="W55" s="173" t="e">
        <f>(H55-G55)/H55</f>
        <v>#DIV/0!</v>
      </c>
      <c r="X55" s="123">
        <f t="shared" si="14"/>
        <v>0</v>
      </c>
      <c r="Y55" s="119">
        <f t="shared" si="15"/>
        <v>0</v>
      </c>
      <c r="Z55" s="124">
        <f t="shared" si="16"/>
        <v>0</v>
      </c>
      <c r="AA55" s="119">
        <f t="shared" si="17"/>
        <v>0</v>
      </c>
      <c r="AB55" s="124">
        <f t="shared" si="18"/>
        <v>0</v>
      </c>
      <c r="AC55" s="124">
        <f t="shared" si="19"/>
        <v>0</v>
      </c>
      <c r="AD55" s="124">
        <f t="shared" si="20"/>
        <v>0</v>
      </c>
      <c r="AE55" s="72"/>
      <c r="AF55" s="68"/>
      <c r="AG55" s="73"/>
      <c r="AH55" s="68"/>
      <c r="AI55" s="74"/>
      <c r="AJ55" s="74"/>
      <c r="AK55" s="75"/>
      <c r="AL55" s="73"/>
      <c r="AM55" s="72"/>
      <c r="AN55" s="68"/>
      <c r="AO55" s="73"/>
      <c r="AP55" s="68"/>
      <c r="AQ55" s="74"/>
      <c r="AR55" s="74"/>
      <c r="AS55" s="75"/>
      <c r="AT55" s="73"/>
      <c r="AU55" s="73"/>
      <c r="AV55" s="73"/>
      <c r="AW55" s="73"/>
      <c r="AX55" s="181"/>
      <c r="AY55" s="177"/>
      <c r="AZ55" s="182"/>
      <c r="BA55" s="177"/>
      <c r="BB55" s="183"/>
      <c r="BC55" s="183"/>
      <c r="BD55" s="184"/>
      <c r="BE55" s="72"/>
      <c r="BF55" s="68"/>
      <c r="BG55" s="73"/>
      <c r="BH55" s="68"/>
      <c r="BI55" s="74"/>
      <c r="BJ55" s="74"/>
      <c r="BK55" s="75"/>
      <c r="BL55" s="72"/>
      <c r="BM55" s="68"/>
      <c r="BN55" s="73"/>
      <c r="BO55" s="68"/>
      <c r="BP55" s="74"/>
      <c r="BQ55" s="74"/>
      <c r="BR55" s="75"/>
      <c r="BS55" s="73"/>
      <c r="BT55" s="72"/>
      <c r="BU55" s="68"/>
      <c r="BV55" s="73"/>
      <c r="BW55" s="68"/>
      <c r="BX55" s="74"/>
      <c r="BY55" s="74"/>
      <c r="BZ55" s="75"/>
      <c r="CA55" s="72"/>
      <c r="CB55" s="68"/>
      <c r="CC55" s="73"/>
      <c r="CD55" s="68"/>
      <c r="CE55" s="74"/>
      <c r="CF55" s="74"/>
      <c r="CG55" s="75"/>
    </row>
    <row r="56" spans="2:85" ht="14.5" x14ac:dyDescent="0.35">
      <c r="B56" s="33">
        <v>0.8</v>
      </c>
      <c r="C56" s="3">
        <v>8</v>
      </c>
      <c r="D56" s="27">
        <f>(X56*($T$11^$Q56))*Watts*CF_Altit</f>
        <v>0</v>
      </c>
      <c r="E56" s="3">
        <f>ROUND(((D56/Watts)/(($S$9-$S$10)*1.163))*$E$14,IF($X$4=1,0,IF($X$4=2,2)))</f>
        <v>0</v>
      </c>
      <c r="F56" s="30" t="e">
        <f>($Y$54*(E56/$E$14)^$Y$56)*$F$14</f>
        <v>#NUM!</v>
      </c>
      <c r="G56" s="4">
        <f>(Z56*($W$11^R56))*Watts*CF_Altit</f>
        <v>0</v>
      </c>
      <c r="H56" s="4">
        <f>((G56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56+0.001448)*(Tl_cool-Tavg_cold)+(0.016908*$C56-0.033574))*1.039&gt;1,1,1/(1+((2258*((0.622/(($Z$11/(1*611*EXP(17.27*(Tavg_cold/(Tavg_cold+237.3))))))-1)*1000-(0.622/(($Z$11/(RH*611*EXP(17.27*(Tl_cool/(Tl_cool+237.3))))))-1)*1000))/(1005*(Tavg_cold-Tl_cool))))*1.039+((-0.000729*$C56+0.001448)*(Tl_cool-Tavg_cold)+(0.016908*$C56-0.033574))*1.039))))*Watts</f>
        <v>0</v>
      </c>
      <c r="I56" s="3">
        <f>ROUND(((H56/Watts)/((Tr_cool-Tv_cool)*1.163))*$I$14,IF($X$4=1,0,IF($X$4=2,2)))</f>
        <v>0</v>
      </c>
      <c r="J56" s="5" t="e">
        <f>($AA$54*(I56/$I$14)^$AA$56)*$J$14</f>
        <v>#NUM!</v>
      </c>
      <c r="K56" s="59">
        <f>L56-8</f>
        <v>-8</v>
      </c>
      <c r="L56" s="53">
        <f t="shared" si="21"/>
        <v>0</v>
      </c>
      <c r="M56" s="46">
        <f t="shared" si="21"/>
        <v>0</v>
      </c>
      <c r="N56" s="64">
        <f>AD56*Cubics</f>
        <v>0</v>
      </c>
      <c r="O56" s="248" t="e">
        <f>((($D56/Watts)/(((p_atm*0.028964)/(8.31447*(20+273.15)))*(($N56/3600)/Cubics)*(1005+1870*((0.622)/(((p_atm)/($E$12*Pvs_Heat_in))-1)))))+Tl_heat)*Celc1+Celc2</f>
        <v>#DIV/0!</v>
      </c>
      <c r="P56" s="249" t="e">
        <f>(Tl_cool-(($G56/Watts)/(1006*$N56*kgss)))*Celc1+Celc2</f>
        <v>#DIV/0!</v>
      </c>
      <c r="Q56" s="215">
        <v>1</v>
      </c>
      <c r="R56" s="113">
        <f t="shared" si="8"/>
        <v>0</v>
      </c>
      <c r="S56" s="275"/>
      <c r="T56" s="276"/>
      <c r="U56" s="272"/>
      <c r="V56" s="276"/>
      <c r="W56" s="173" t="e">
        <f>(H56-G56)/H56</f>
        <v>#DIV/0!</v>
      </c>
      <c r="X56" s="123">
        <f t="shared" si="14"/>
        <v>0</v>
      </c>
      <c r="Y56" s="124">
        <f t="shared" si="15"/>
        <v>0</v>
      </c>
      <c r="Z56" s="124">
        <f t="shared" si="16"/>
        <v>0</v>
      </c>
      <c r="AA56" s="124">
        <f t="shared" si="17"/>
        <v>0</v>
      </c>
      <c r="AB56" s="124">
        <f t="shared" si="18"/>
        <v>0</v>
      </c>
      <c r="AC56" s="124">
        <f t="shared" si="19"/>
        <v>0</v>
      </c>
      <c r="AD56" s="124">
        <f t="shared" si="20"/>
        <v>0</v>
      </c>
      <c r="AE56" s="72"/>
      <c r="AF56" s="73"/>
      <c r="AG56" s="73"/>
      <c r="AH56" s="73"/>
      <c r="AI56" s="74"/>
      <c r="AJ56" s="74"/>
      <c r="AK56" s="75"/>
      <c r="AL56" s="73"/>
      <c r="AM56" s="72"/>
      <c r="AN56" s="73"/>
      <c r="AO56" s="73"/>
      <c r="AP56" s="73"/>
      <c r="AQ56" s="74"/>
      <c r="AR56" s="74"/>
      <c r="AS56" s="75"/>
      <c r="AT56" s="73"/>
      <c r="AU56" s="73"/>
      <c r="AV56" s="73"/>
      <c r="AW56" s="73"/>
      <c r="AX56" s="181"/>
      <c r="AY56" s="182"/>
      <c r="AZ56" s="182"/>
      <c r="BA56" s="182"/>
      <c r="BB56" s="183"/>
      <c r="BC56" s="183"/>
      <c r="BD56" s="184"/>
      <c r="BE56" s="72"/>
      <c r="BF56" s="73"/>
      <c r="BG56" s="73"/>
      <c r="BH56" s="73"/>
      <c r="BI56" s="74"/>
      <c r="BJ56" s="74"/>
      <c r="BK56" s="75"/>
      <c r="BL56" s="72"/>
      <c r="BM56" s="73"/>
      <c r="BN56" s="73"/>
      <c r="BO56" s="73"/>
      <c r="BP56" s="74"/>
      <c r="BQ56" s="74"/>
      <c r="BR56" s="75"/>
      <c r="BS56" s="73"/>
      <c r="BT56" s="72"/>
      <c r="BU56" s="73"/>
      <c r="BV56" s="73"/>
      <c r="BW56" s="73"/>
      <c r="BX56" s="74"/>
      <c r="BY56" s="74"/>
      <c r="BZ56" s="75"/>
      <c r="CA56" s="72"/>
      <c r="CB56" s="73"/>
      <c r="CC56" s="73"/>
      <c r="CD56" s="73"/>
      <c r="CE56" s="74"/>
      <c r="CF56" s="74"/>
      <c r="CG56" s="75"/>
    </row>
    <row r="57" spans="2:85" ht="14.5" x14ac:dyDescent="0.35">
      <c r="B57" s="33">
        <v>1</v>
      </c>
      <c r="C57" s="3">
        <v>10</v>
      </c>
      <c r="D57" s="27">
        <f>(X57*($T$11^$Q57))*Watts*CF_Altit</f>
        <v>0</v>
      </c>
      <c r="E57" s="3">
        <f>ROUND(((D57/Watts)/(($S$9-$S$10)*1.163))*$E$14,IF($X$4=1,0,IF($X$4=2,2)))</f>
        <v>0</v>
      </c>
      <c r="F57" s="30" t="e">
        <f>($Y$54*(E57/$E$14)^$Y$56)*$F$14</f>
        <v>#NUM!</v>
      </c>
      <c r="G57" s="4">
        <f>(Z57*($W$11^R57))*Watts*CF_Altit</f>
        <v>0</v>
      </c>
      <c r="H57" s="4">
        <f>((G57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57+0.001448)*(Tl_cool-Tavg_cold)+(0.016908*$C57-0.033574))*1.039&gt;1,1,1/(1+((2258*((0.622/(($Z$11/(1*611*EXP(17.27*(Tavg_cold/(Tavg_cold+237.3))))))-1)*1000-(0.622/(($Z$11/(RH*611*EXP(17.27*(Tl_cool/(Tl_cool+237.3))))))-1)*1000))/(1005*(Tavg_cold-Tl_cool))))*1.039+((-0.000729*$C57+0.001448)*(Tl_cool-Tavg_cold)+(0.016908*$C57-0.033574))*1.039))))*Watts</f>
        <v>0</v>
      </c>
      <c r="I57" s="3">
        <f>ROUND(((H57/Watts)/((Tr_cool-Tv_cool)*1.163))*$I$14,IF($X$4=1,0,IF($X$4=2,2)))</f>
        <v>0</v>
      </c>
      <c r="J57" s="5" t="e">
        <f>($AA$54*(I57/$I$14)^$AA$56)*$J$14</f>
        <v>#NUM!</v>
      </c>
      <c r="K57" s="59">
        <f>L57-8</f>
        <v>-8</v>
      </c>
      <c r="L57" s="53">
        <f t="shared" si="21"/>
        <v>0</v>
      </c>
      <c r="M57" s="46">
        <f t="shared" si="21"/>
        <v>0</v>
      </c>
      <c r="N57" s="64">
        <f>AD57*Cubics</f>
        <v>0</v>
      </c>
      <c r="O57" s="248" t="e">
        <f>((($D57/Watts)/(((p_atm*0.028964)/(8.31447*(20+273.15)))*(($N57/3600)/Cubics)*(1005+1870*((0.622)/(((p_atm)/($E$12*Pvs_Heat_in))-1)))))+Tl_heat)*Celc1+Celc2</f>
        <v>#DIV/0!</v>
      </c>
      <c r="P57" s="249" t="e">
        <f>(Tl_cool-(($G57/Watts)/(1006*$N57*kgss)))*Celc1+Celc2</f>
        <v>#DIV/0!</v>
      </c>
      <c r="Q57" s="215">
        <v>1</v>
      </c>
      <c r="R57" s="113">
        <f t="shared" si="8"/>
        <v>0</v>
      </c>
      <c r="S57" s="275"/>
      <c r="T57" s="276"/>
      <c r="U57" s="272"/>
      <c r="V57" s="276"/>
      <c r="W57" s="173" t="e">
        <f>(H57-G57)/H57</f>
        <v>#DIV/0!</v>
      </c>
      <c r="X57" s="123">
        <f t="shared" si="14"/>
        <v>0</v>
      </c>
      <c r="Y57" s="140">
        <f t="shared" si="15"/>
        <v>0</v>
      </c>
      <c r="Z57" s="129">
        <f t="shared" si="16"/>
        <v>0</v>
      </c>
      <c r="AA57" s="140">
        <f t="shared" si="17"/>
        <v>0</v>
      </c>
      <c r="AB57" s="129">
        <f t="shared" si="18"/>
        <v>0</v>
      </c>
      <c r="AC57" s="129">
        <f t="shared" si="19"/>
        <v>0</v>
      </c>
      <c r="AD57" s="129">
        <f t="shared" si="20"/>
        <v>0</v>
      </c>
      <c r="AE57" s="76"/>
      <c r="AF57" s="77"/>
      <c r="AG57" s="78"/>
      <c r="AH57" s="77"/>
      <c r="AI57" s="79"/>
      <c r="AJ57" s="79"/>
      <c r="AK57" s="80"/>
      <c r="AL57" s="78"/>
      <c r="AM57" s="76"/>
      <c r="AN57" s="77"/>
      <c r="AO57" s="78"/>
      <c r="AP57" s="77"/>
      <c r="AQ57" s="79"/>
      <c r="AR57" s="79"/>
      <c r="AS57" s="80"/>
      <c r="AT57" s="73"/>
      <c r="AU57" s="73"/>
      <c r="AV57" s="73"/>
      <c r="AW57" s="73"/>
      <c r="AX57" s="185"/>
      <c r="AY57" s="186"/>
      <c r="AZ57" s="187"/>
      <c r="BA57" s="186"/>
      <c r="BB57" s="188"/>
      <c r="BC57" s="188"/>
      <c r="BD57" s="189"/>
      <c r="BE57" s="76"/>
      <c r="BF57" s="77"/>
      <c r="BG57" s="78"/>
      <c r="BH57" s="77"/>
      <c r="BI57" s="79"/>
      <c r="BJ57" s="79"/>
      <c r="BK57" s="80"/>
      <c r="BL57" s="76"/>
      <c r="BM57" s="77"/>
      <c r="BN57" s="78"/>
      <c r="BO57" s="77"/>
      <c r="BP57" s="79"/>
      <c r="BQ57" s="79"/>
      <c r="BR57" s="80"/>
      <c r="BS57" s="73"/>
      <c r="BT57" s="76"/>
      <c r="BU57" s="77"/>
      <c r="BV57" s="78"/>
      <c r="BW57" s="77"/>
      <c r="BX57" s="79"/>
      <c r="BY57" s="79"/>
      <c r="BZ57" s="80"/>
      <c r="CA57" s="76"/>
      <c r="CB57" s="77"/>
      <c r="CC57" s="78"/>
      <c r="CD57" s="77"/>
      <c r="CE57" s="79"/>
      <c r="CF57" s="79"/>
      <c r="CG57" s="80"/>
    </row>
    <row r="58" spans="2:85" ht="14.5" x14ac:dyDescent="0.35">
      <c r="B58" s="337" t="str">
        <f>IF($S$7=1,NL!A57,IF(cal!$S$7=2,EN!A57,IF(cal!$S$7=3,DE!A57,IF(cal!$S$7=4,FR!A57,IF(cal!$S$7=5,NR!A57,IF(cal!$S$7=6,SP!A57,IF(cal!$S$7=7,SW!A57,IF(cal!$S$7=8,TS!A57,IF(cal!$S$7=9,ExtraTaal1!A57,IF(cal!$S$7=10,ExtraTaal2!A57,IF(cal!$S$7=11,ExtraTaal3!A57,)))))))))))</f>
        <v>Freedom height 0 cm width 0 cm length 0 cm (Type 8)</v>
      </c>
      <c r="C58" s="338">
        <f>IF($S$7=1,NL!B57,IF(cal!$S$7=2,EN!B57,IF(cal!$S$7=3,DE!B57,IF(cal!$S$7=4,FR!B57,IF(cal!$S$7=5,NR!B57,IF(cal!$S$7=6,SP!B57,IF(cal!$S$7=7,SW!B57,IF(cal!$S$7=8,TS!B57,IF(cal!$S$7=9,ExtraTaal1!B57,IF(cal!$S$7=10,ExtraTaal2!B57,IF(cal!$S$7=11,ExtraTaal3!B57,)))))))))))</f>
        <v>0</v>
      </c>
      <c r="D58" s="338">
        <f>IF($S$7=1,NL!C57,IF(cal!$S$7=2,EN!C57,IF(cal!$S$7=3,DE!C57,IF(cal!$S$7=4,FR!C57,IF(cal!$S$7=5,NR!C57,IF(cal!$S$7=6,SP!C57,IF(cal!$S$7=7,SW!C57,IF(cal!$S$7=8,TS!C57,IF(cal!$S$7=9,ExtraTaal1!C57,IF(cal!$S$7=10,ExtraTaal2!C57,IF(cal!$S$7=11,ExtraTaal3!C57,)))))))))))</f>
        <v>0</v>
      </c>
      <c r="E58" s="338">
        <f>IF($S$7=1,NL!D57,IF(cal!$S$7=2,EN!D57,IF(cal!$S$7=3,DE!D57,IF(cal!$S$7=4,FR!D57,IF(cal!$S$7=5,NR!D57,IF(cal!$S$7=6,SP!D57,IF(cal!$S$7=7,SW!D57,IF(cal!$S$7=8,TS!D57,IF(cal!$S$7=9,ExtraTaal1!D57,IF(cal!$S$7=10,ExtraTaal2!D57,IF(cal!$S$7=11,ExtraTaal3!D57,)))))))))))</f>
        <v>0</v>
      </c>
      <c r="F58" s="338">
        <f>IF($S$7=1,NL!E57,IF(cal!$S$7=2,EN!E57,IF(cal!$S$7=3,DE!E57,IF(cal!$S$7=4,FR!E57,IF(cal!$S$7=5,NR!E57,IF(cal!$S$7=6,SP!E57,IF(cal!$S$7=7,SW!E57,IF(cal!$S$7=8,TS!E57,IF(cal!$S$7=9,ExtraTaal1!E57,IF(cal!$S$7=10,ExtraTaal2!E57,IF(cal!$S$7=11,ExtraTaal3!E57,)))))))))))</f>
        <v>0</v>
      </c>
      <c r="G58" s="338">
        <f>IF($S$7=1,NL!F57,IF(cal!$S$7=2,EN!F57,IF(cal!$S$7=3,DE!F57,IF(cal!$S$7=4,FR!F57,IF(cal!$S$7=5,NR!F57,IF(cal!$S$7=6,SP!F57,IF(cal!$S$7=7,SW!F57,IF(cal!$S$7=8,TS!F57,IF(cal!$S$7=9,ExtraTaal1!F57,IF(cal!$S$7=10,ExtraTaal2!F57,IF(cal!$S$7=11,ExtraTaal3!F57,)))))))))))</f>
        <v>0</v>
      </c>
      <c r="H58" s="338">
        <f>IF($S$7=1,NL!G57,IF(cal!$S$7=2,EN!G57,IF(cal!$S$7=3,DE!G57,IF(cal!$S$7=4,FR!G57,IF(cal!$S$7=5,NR!G57,IF(cal!$S$7=6,SP!G57,IF(cal!$S$7=7,SW!G57,IF(cal!$S$7=8,TS!G57,IF(cal!$S$7=9,ExtraTaal1!G57,IF(cal!$S$7=10,ExtraTaal2!G57,IF(cal!$S$7=11,ExtraTaal3!G57,)))))))))))</f>
        <v>0</v>
      </c>
      <c r="I58" s="338">
        <f>IF($S$7=1,NL!H57,IF(cal!$S$7=2,EN!H57,IF(cal!$S$7=3,DE!H57,IF(cal!$S$7=4,FR!H57,IF(cal!$S$7=5,NR!H57,IF(cal!$S$7=6,SP!H57,IF(cal!$S$7=7,SW!H57,IF(cal!$S$7=8,TS!H57,IF(cal!$S$7=9,ExtraTaal1!H57,IF(cal!$S$7=10,ExtraTaal2!H57,IF(cal!$S$7=11,ExtraTaal3!H57,)))))))))))</f>
        <v>0</v>
      </c>
      <c r="J58" s="338">
        <f>IF($S$7=1,NL!I57,IF(cal!$S$7=2,EN!I57,IF(cal!$S$7=3,DE!I57,IF(cal!$S$7=4,FR!I57,IF(cal!$S$7=5,NR!I57,IF(cal!$S$7=6,SP!I57,IF(cal!$S$7=7,SW!I57,IF(cal!$S$7=8,TS!I57,IF(cal!$S$7=9,ExtraTaal1!I57,IF(cal!$S$7=10,ExtraTaal2!I57,IF(cal!$S$7=11,ExtraTaal3!I57,)))))))))))</f>
        <v>0</v>
      </c>
      <c r="K58" s="338">
        <f>IF($S$7=1,NL!J57,IF(cal!$S$7=2,EN!J57,IF(cal!$S$7=3,DE!J57,IF(cal!$S$7=4,FR!J57,IF(cal!$S$7=5,NR!J57,IF(cal!$S$7=6,SP!J57,IF(cal!$S$7=7,SW!J57,IF(cal!$S$7=8,TS!J57,IF(cal!$S$7=9,ExtraTaal1!J57,IF(cal!$S$7=10,ExtraTaal2!J57,IF(cal!$S$7=11,ExtraTaal3!J57,)))))))))))</f>
        <v>0</v>
      </c>
      <c r="L58" s="338">
        <f>IF($S$7=1,NL!K57,IF(cal!$S$7=2,EN!K57,IF(cal!$S$7=3,DE!K57,IF(cal!$S$7=4,FR!K57,IF(cal!$S$7=5,NR!K57,IF(cal!$S$7=6,SP!K57,IF(cal!$S$7=7,SW!K57,IF(cal!$S$7=8,TS!K57,IF(cal!$S$7=9,ExtraTaal1!K57,IF(cal!$S$7=10,ExtraTaal2!K57,IF(cal!$S$7=11,ExtraTaal3!K57,)))))))))))</f>
        <v>0</v>
      </c>
      <c r="M58" s="338">
        <f>IF($S$7=1,NL!L57,IF(cal!$S$7=2,EN!L57,IF(cal!$S$7=3,DE!L57,IF(cal!$S$7=4,FR!L57,IF(cal!$S$7=5,NR!L57,IF(cal!$S$7=6,SP!L57,IF(cal!$S$7=7,SW!L57,IF(cal!$S$7=8,TS!L57,IF(cal!$S$7=9,ExtraTaal1!L57,IF(cal!$S$7=10,ExtraTaal2!L57,IF(cal!$S$7=11,ExtraTaal3!L57,)))))))))))</f>
        <v>0</v>
      </c>
      <c r="N58" s="338">
        <f>IF($S$7=1,NL!M57,IF(cal!$S$7=2,EN!M57,IF(cal!$S$7=3,DE!M57,IF(cal!$S$7=4,FR!M57,IF(cal!$S$7=5,NR!M57,IF(cal!$S$7=6,SP!M57,IF(cal!$S$7=7,SW!M57,IF(cal!$S$7=8,TS!M57,IF(cal!$S$7=9,ExtraTaal1!M57,IF(cal!$S$7=10,ExtraTaal2!M57,IF(cal!$S$7=11,ExtraTaal3!M57,)))))))))))</f>
        <v>0</v>
      </c>
      <c r="O58" s="338">
        <f>IF($S$7=1,NL!N57,IF(cal!$S$7=2,EN!N57,IF(cal!$S$7=3,DE!N57,IF(cal!$S$7=4,FR!N57,IF(cal!$S$7=5,NR!N57,IF(cal!$S$7=6,SP!N57,IF(cal!$S$7=7,SW!N57,IF(cal!$S$7=8,TS!N57,IF(cal!$S$7=9,ExtraTaal1!N57,IF(cal!$S$7=10,ExtraTaal2!N57,IF(cal!$S$7=11,ExtraTaal3!N57,)))))))))))</f>
        <v>0</v>
      </c>
      <c r="P58" s="339">
        <f>IF($S$7=1,NL!O57,IF(cal!$S$7=2,EN!O57,IF(cal!$S$7=3,DE!O57,IF(cal!$S$7=4,FR!O57,IF(cal!$S$7=5,NR!O57,IF(cal!$S$7=6,SP!O57,IF(cal!$S$7=7,SW!O57,IF(cal!$S$7=8,TS!O57,IF(cal!$S$7=9,ExtraTaal1!O57,IF(cal!$S$7=10,ExtraTaal2!O57,IF(cal!$S$7=11,ExtraTaal3!O57,)))))))))))</f>
        <v>0</v>
      </c>
      <c r="Q58" s="204" t="s">
        <v>11</v>
      </c>
      <c r="R58" s="193">
        <f t="shared" si="8"/>
        <v>0</v>
      </c>
      <c r="S58" s="277"/>
      <c r="T58" s="278"/>
      <c r="U58" s="279"/>
      <c r="V58" s="278"/>
      <c r="W58" s="173"/>
      <c r="X58" s="132">
        <f t="shared" si="14"/>
        <v>0</v>
      </c>
      <c r="Y58" s="147">
        <f t="shared" si="15"/>
        <v>0</v>
      </c>
      <c r="Z58" s="132">
        <f t="shared" si="16"/>
        <v>0</v>
      </c>
      <c r="AA58" s="147">
        <f t="shared" si="17"/>
        <v>0</v>
      </c>
      <c r="AB58" s="132">
        <f t="shared" si="18"/>
        <v>0</v>
      </c>
      <c r="AC58" s="137">
        <f t="shared" si="19"/>
        <v>0</v>
      </c>
      <c r="AD58" s="135">
        <f t="shared" si="20"/>
        <v>0</v>
      </c>
      <c r="AE58" s="83"/>
      <c r="AF58" s="84"/>
      <c r="AG58" s="83"/>
      <c r="AH58" s="84"/>
      <c r="AI58" s="83"/>
      <c r="AJ58" s="84"/>
      <c r="AK58" s="82"/>
      <c r="AL58" s="82"/>
      <c r="AM58" s="83"/>
      <c r="AN58" s="84"/>
      <c r="AO58" s="83"/>
      <c r="AP58" s="84"/>
      <c r="AQ58" s="83"/>
      <c r="AR58" s="84"/>
      <c r="AS58" s="82"/>
      <c r="AT58" s="86"/>
      <c r="AU58" s="86"/>
      <c r="AV58" s="86"/>
      <c r="AW58" s="86"/>
      <c r="AX58" s="190"/>
      <c r="AY58" s="191"/>
      <c r="AZ58" s="190"/>
      <c r="BA58" s="191"/>
      <c r="BB58" s="190"/>
      <c r="BC58" s="191"/>
      <c r="BD58" s="192"/>
      <c r="BE58" s="83"/>
      <c r="BF58" s="84"/>
      <c r="BG58" s="83"/>
      <c r="BH58" s="84"/>
      <c r="BI58" s="83"/>
      <c r="BJ58" s="84"/>
      <c r="BK58" s="82"/>
      <c r="BL58" s="83"/>
      <c r="BM58" s="84"/>
      <c r="BN58" s="83"/>
      <c r="BO58" s="84"/>
      <c r="BP58" s="83"/>
      <c r="BQ58" s="84"/>
      <c r="BR58" s="82"/>
      <c r="BS58" s="86"/>
      <c r="BT58" s="83"/>
      <c r="BU58" s="84"/>
      <c r="BV58" s="83"/>
      <c r="BW58" s="84"/>
      <c r="BX58" s="83"/>
      <c r="BY58" s="84"/>
      <c r="BZ58" s="82"/>
      <c r="CA58" s="83"/>
      <c r="CB58" s="84"/>
      <c r="CC58" s="83"/>
      <c r="CD58" s="84"/>
      <c r="CE58" s="83"/>
      <c r="CF58" s="84"/>
      <c r="CG58" s="82"/>
    </row>
    <row r="59" spans="2:85" ht="14.5" x14ac:dyDescent="0.35">
      <c r="B59" s="33">
        <v>0.2</v>
      </c>
      <c r="C59" s="3">
        <v>2</v>
      </c>
      <c r="D59" s="27">
        <f>(X59*($T$11^$Q59))*Watts*CF_Altit</f>
        <v>0</v>
      </c>
      <c r="E59" s="3">
        <f>ROUND(((D59/Watts)/(($S$9-$S$10)*1.163))*$E$14,IF($X$4=1,0,IF($X$4=2,2)))</f>
        <v>0</v>
      </c>
      <c r="F59" s="30" t="e">
        <f>($Y$66*(E59/$E$14)^$Y$68)*$F$14</f>
        <v>#NUM!</v>
      </c>
      <c r="G59" s="4">
        <f>(Z59*($W$11^R59))*Watts*CF_Altit</f>
        <v>0</v>
      </c>
      <c r="H59" s="4">
        <f>((G59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59+0.001448)*(Tl_cool-Tavg_cold)+(0.016908*$C59-0.033574))*1.039&gt;1,1,1/(1+((2258*((0.622/(($Z$11/(1*611*EXP(17.27*(Tavg_cold/(Tavg_cold+237.3))))))-1)*1000-(0.622/(($Z$11/(RH*611*EXP(17.27*(Tl_cool/(Tl_cool+237.3))))))-1)*1000))/(1005*(Tavg_cold-Tl_cool))))*1.039+((-0.000729*$C59+0.001448)*(Tl_cool-Tavg_cold)+(0.016908*$C59-0.033574))*1.039))))*Watts</f>
        <v>0</v>
      </c>
      <c r="I59" s="3">
        <f>ROUND(((H59/Watts)/((Tr_cool-Tv_cool)*1.163))*$I$14,IF($X$4=1,0,IF($X$4=2,2)))</f>
        <v>0</v>
      </c>
      <c r="J59" s="5" t="e">
        <f>($AA$60*(I59/$I$14)^$AA$62)*$J$14</f>
        <v>#NUM!</v>
      </c>
      <c r="K59" s="59">
        <f>L59-8</f>
        <v>-8</v>
      </c>
      <c r="L59" s="53">
        <f t="shared" ref="L59:M63" si="22">AB59</f>
        <v>0</v>
      </c>
      <c r="M59" s="46">
        <f t="shared" si="22"/>
        <v>0</v>
      </c>
      <c r="N59" s="64">
        <f>AD59*Cubics</f>
        <v>0</v>
      </c>
      <c r="O59" s="246" t="e">
        <f>((($D59/Watts)/(((p_atm*0.028964)/(8.31447*(20+273.15)))*(($N59/3600)/Cubics)*(1005+1870*((0.622)/(((p_atm)/($E$12*Pvs_Heat_in))-1)))))+Tl_heat)*Celc1+Celc2</f>
        <v>#DIV/0!</v>
      </c>
      <c r="P59" s="247" t="e">
        <f>(Tl_cool-(($G59/Watts)/(1006*$N59*kgss)))*Celc1+Celc2</f>
        <v>#DIV/0!</v>
      </c>
      <c r="Q59" s="215">
        <v>1</v>
      </c>
      <c r="R59" s="113">
        <f t="shared" si="8"/>
        <v>0</v>
      </c>
      <c r="S59" s="275"/>
      <c r="T59" s="276"/>
      <c r="U59" s="272"/>
      <c r="V59" s="276"/>
      <c r="W59" s="173" t="e">
        <f>(H59-G59)/H59</f>
        <v>#DIV/0!</v>
      </c>
      <c r="X59" s="118">
        <f t="shared" si="14"/>
        <v>0</v>
      </c>
      <c r="Y59" s="119">
        <f t="shared" si="15"/>
        <v>0</v>
      </c>
      <c r="Z59" s="120">
        <f t="shared" si="16"/>
        <v>0</v>
      </c>
      <c r="AA59" s="119">
        <f t="shared" si="17"/>
        <v>0</v>
      </c>
      <c r="AB59" s="120">
        <f t="shared" si="18"/>
        <v>0</v>
      </c>
      <c r="AC59" s="120">
        <f t="shared" si="19"/>
        <v>0</v>
      </c>
      <c r="AD59" s="120">
        <f t="shared" si="20"/>
        <v>0</v>
      </c>
      <c r="AE59" s="67"/>
      <c r="AF59" s="68"/>
      <c r="AG59" s="69"/>
      <c r="AH59" s="68"/>
      <c r="AI59" s="70"/>
      <c r="AJ59" s="70"/>
      <c r="AK59" s="71"/>
      <c r="AL59" s="69"/>
      <c r="AM59" s="67"/>
      <c r="AN59" s="68"/>
      <c r="AO59" s="69"/>
      <c r="AP59" s="68"/>
      <c r="AQ59" s="70"/>
      <c r="AR59" s="70"/>
      <c r="AS59" s="71"/>
      <c r="AT59" s="73"/>
      <c r="AU59" s="73"/>
      <c r="AV59" s="73"/>
      <c r="AW59" s="73"/>
      <c r="AX59" s="176"/>
      <c r="AY59" s="177"/>
      <c r="AZ59" s="178"/>
      <c r="BA59" s="177"/>
      <c r="BB59" s="179"/>
      <c r="BC59" s="179"/>
      <c r="BD59" s="180"/>
      <c r="BE59" s="67"/>
      <c r="BF59" s="68"/>
      <c r="BG59" s="69"/>
      <c r="BH59" s="68"/>
      <c r="BI59" s="70"/>
      <c r="BJ59" s="70"/>
      <c r="BK59" s="71"/>
      <c r="BL59" s="67"/>
      <c r="BM59" s="68"/>
      <c r="BN59" s="69"/>
      <c r="BO59" s="68"/>
      <c r="BP59" s="70"/>
      <c r="BQ59" s="70"/>
      <c r="BR59" s="71"/>
      <c r="BS59" s="73"/>
      <c r="BT59" s="67"/>
      <c r="BU59" s="68"/>
      <c r="BV59" s="69"/>
      <c r="BW59" s="68"/>
      <c r="BX59" s="70"/>
      <c r="BY59" s="70"/>
      <c r="BZ59" s="71"/>
      <c r="CA59" s="67"/>
      <c r="CB59" s="68"/>
      <c r="CC59" s="69"/>
      <c r="CD59" s="68"/>
      <c r="CE59" s="70"/>
      <c r="CF59" s="70"/>
      <c r="CG59" s="71"/>
    </row>
    <row r="60" spans="2:85" ht="14.5" x14ac:dyDescent="0.35">
      <c r="B60" s="33">
        <v>0.4</v>
      </c>
      <c r="C60" s="3">
        <v>4</v>
      </c>
      <c r="D60" s="27">
        <f>(X60*($T$11^$Q60))*Watts*CF_Altit</f>
        <v>0</v>
      </c>
      <c r="E60" s="3">
        <f>ROUND(((D60/Watts)/(($S$9-$S$10)*1.163))*$E$14,IF($X$4=1,0,IF($X$4=2,2)))</f>
        <v>0</v>
      </c>
      <c r="F60" s="30" t="e">
        <f>($Y$66*(E60/$E$14)^$Y$68)*$F$14</f>
        <v>#NUM!</v>
      </c>
      <c r="G60" s="4">
        <f>(Z60*($W$11^R60))*Watts*CF_Altit</f>
        <v>0</v>
      </c>
      <c r="H60" s="4">
        <f>((G60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60+0.001448)*(Tl_cool-Tavg_cold)+(0.016908*$C60-0.033574))*1.039&gt;1,1,1/(1+((2258*((0.622/(($Z$11/(1*611*EXP(17.27*(Tavg_cold/(Tavg_cold+237.3))))))-1)*1000-(0.622/(($Z$11/(RH*611*EXP(17.27*(Tl_cool/(Tl_cool+237.3))))))-1)*1000))/(1005*(Tavg_cold-Tl_cool))))*1.039+((-0.000729*$C60+0.001448)*(Tl_cool-Tavg_cold)+(0.016908*$C60-0.033574))*1.039))))*Watts</f>
        <v>0</v>
      </c>
      <c r="I60" s="3">
        <f>ROUND(((H60/Watts)/((Tr_cool-Tv_cool)*1.163))*$I$14,IF($X$4=1,0,IF($X$4=2,2)))</f>
        <v>0</v>
      </c>
      <c r="J60" s="5" t="e">
        <f>($AA$60*(I60/$I$14)^$AA$62)*$J$14</f>
        <v>#NUM!</v>
      </c>
      <c r="K60" s="59">
        <f>L60-8</f>
        <v>-8</v>
      </c>
      <c r="L60" s="53">
        <f t="shared" si="22"/>
        <v>0</v>
      </c>
      <c r="M60" s="46">
        <f t="shared" si="22"/>
        <v>0</v>
      </c>
      <c r="N60" s="64">
        <f>AD60*Cubics</f>
        <v>0</v>
      </c>
      <c r="O60" s="248" t="e">
        <f>((($D60/Watts)/(((p_atm*0.028964)/(8.31447*(20+273.15)))*(($N60/3600)/Cubics)*(1005+1870*((0.622)/(((p_atm)/($E$12*Pvs_Heat_in))-1)))))+Tl_heat)*Celc1+Celc2</f>
        <v>#DIV/0!</v>
      </c>
      <c r="P60" s="249" t="e">
        <f>(Tl_cool-(($G60/Watts)/(1006*$N60*kgss)))*Celc1+Celc2</f>
        <v>#DIV/0!</v>
      </c>
      <c r="Q60" s="215">
        <v>1</v>
      </c>
      <c r="R60" s="113">
        <f t="shared" si="8"/>
        <v>0</v>
      </c>
      <c r="S60" s="275"/>
      <c r="T60" s="276"/>
      <c r="U60" s="272"/>
      <c r="V60" s="276"/>
      <c r="W60" s="173" t="e">
        <f>(H60-G60)/H60</f>
        <v>#DIV/0!</v>
      </c>
      <c r="X60" s="123">
        <f t="shared" si="14"/>
        <v>0</v>
      </c>
      <c r="Y60" s="124">
        <f t="shared" si="15"/>
        <v>0</v>
      </c>
      <c r="Z60" s="124">
        <f t="shared" si="16"/>
        <v>0</v>
      </c>
      <c r="AA60" s="124">
        <f t="shared" si="17"/>
        <v>0</v>
      </c>
      <c r="AB60" s="124">
        <f t="shared" si="18"/>
        <v>0</v>
      </c>
      <c r="AC60" s="124">
        <f t="shared" si="19"/>
        <v>0</v>
      </c>
      <c r="AD60" s="124">
        <f t="shared" si="20"/>
        <v>0</v>
      </c>
      <c r="AE60" s="72"/>
      <c r="AF60" s="73"/>
      <c r="AG60" s="73"/>
      <c r="AH60" s="73"/>
      <c r="AI60" s="74"/>
      <c r="AJ60" s="74"/>
      <c r="AK60" s="75"/>
      <c r="AL60" s="73"/>
      <c r="AM60" s="72"/>
      <c r="AN60" s="73"/>
      <c r="AO60" s="73"/>
      <c r="AP60" s="73"/>
      <c r="AQ60" s="74"/>
      <c r="AR60" s="74"/>
      <c r="AS60" s="75"/>
      <c r="AT60" s="73"/>
      <c r="AU60" s="73"/>
      <c r="AV60" s="73"/>
      <c r="AW60" s="73"/>
      <c r="AX60" s="181"/>
      <c r="AY60" s="182"/>
      <c r="AZ60" s="182"/>
      <c r="BA60" s="182"/>
      <c r="BB60" s="183"/>
      <c r="BC60" s="183"/>
      <c r="BD60" s="184"/>
      <c r="BE60" s="72"/>
      <c r="BF60" s="73"/>
      <c r="BG60" s="73"/>
      <c r="BH60" s="73"/>
      <c r="BI60" s="74"/>
      <c r="BJ60" s="74"/>
      <c r="BK60" s="75"/>
      <c r="BL60" s="72"/>
      <c r="BM60" s="73"/>
      <c r="BN60" s="73"/>
      <c r="BO60" s="73"/>
      <c r="BP60" s="74"/>
      <c r="BQ60" s="74"/>
      <c r="BR60" s="75"/>
      <c r="BS60" s="73"/>
      <c r="BT60" s="72"/>
      <c r="BU60" s="73"/>
      <c r="BV60" s="73"/>
      <c r="BW60" s="73"/>
      <c r="BX60" s="74"/>
      <c r="BY60" s="74"/>
      <c r="BZ60" s="75"/>
      <c r="CA60" s="72"/>
      <c r="CB60" s="73"/>
      <c r="CC60" s="73"/>
      <c r="CD60" s="73"/>
      <c r="CE60" s="74"/>
      <c r="CF60" s="74"/>
      <c r="CG60" s="75"/>
    </row>
    <row r="61" spans="2:85" ht="14.5" x14ac:dyDescent="0.35">
      <c r="B61" s="33">
        <v>0.6</v>
      </c>
      <c r="C61" s="3">
        <v>6</v>
      </c>
      <c r="D61" s="27">
        <f>(X61*($T$11^$Q61))*Watts*CF_Altit</f>
        <v>0</v>
      </c>
      <c r="E61" s="3">
        <f>ROUND(((D61/Watts)/(($S$9-$S$10)*1.163))*$E$14,IF($X$4=1,0,IF($X$4=2,2)))</f>
        <v>0</v>
      </c>
      <c r="F61" s="30" t="e">
        <f>($Y$66*(E61/$E$14)^$Y$68)*$F$14</f>
        <v>#NUM!</v>
      </c>
      <c r="G61" s="4">
        <f>(Z61*($W$11^R61))*Watts*CF_Altit</f>
        <v>0</v>
      </c>
      <c r="H61" s="4">
        <f>((G61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61+0.001448)*(Tl_cool-Tavg_cold)+(0.016908*$C61-0.033574))*1.039&gt;1,1,1/(1+((2258*((0.622/(($Z$11/(1*611*EXP(17.27*(Tavg_cold/(Tavg_cold+237.3))))))-1)*1000-(0.622/(($Z$11/(RH*611*EXP(17.27*(Tl_cool/(Tl_cool+237.3))))))-1)*1000))/(1005*(Tavg_cold-Tl_cool))))*1.039+((-0.000729*$C61+0.001448)*(Tl_cool-Tavg_cold)+(0.016908*$C61-0.033574))*1.039))))*Watts</f>
        <v>0</v>
      </c>
      <c r="I61" s="3">
        <f>ROUND(((H61/Watts)/((Tr_cool-Tv_cool)*1.163))*$I$14,IF($X$4=1,0,IF($X$4=2,2)))</f>
        <v>0</v>
      </c>
      <c r="J61" s="5" t="e">
        <f>($AA$60*(I61/$I$14)^$AA$62)*$J$14</f>
        <v>#NUM!</v>
      </c>
      <c r="K61" s="59">
        <f>L61-8</f>
        <v>-8</v>
      </c>
      <c r="L61" s="53">
        <f t="shared" si="22"/>
        <v>0</v>
      </c>
      <c r="M61" s="46">
        <f t="shared" si="22"/>
        <v>0</v>
      </c>
      <c r="N61" s="64">
        <f>AD61*Cubics</f>
        <v>0</v>
      </c>
      <c r="O61" s="248" t="e">
        <f>((($D61/Watts)/(((p_atm*0.028964)/(8.31447*(20+273.15)))*(($N61/3600)/Cubics)*(1005+1870*((0.622)/(((p_atm)/($E$12*Pvs_Heat_in))-1)))))+Tl_heat)*Celc1+Celc2</f>
        <v>#DIV/0!</v>
      </c>
      <c r="P61" s="249" t="e">
        <f>(Tl_cool-(($G61/Watts)/(1006*$N61*kgss)))*Celc1+Celc2</f>
        <v>#DIV/0!</v>
      </c>
      <c r="Q61" s="215">
        <v>1</v>
      </c>
      <c r="R61" s="113">
        <f t="shared" si="8"/>
        <v>0</v>
      </c>
      <c r="S61" s="275"/>
      <c r="T61" s="276"/>
      <c r="U61" s="272"/>
      <c r="V61" s="276"/>
      <c r="W61" s="173" t="e">
        <f>(H61-G61)/H61</f>
        <v>#DIV/0!</v>
      </c>
      <c r="X61" s="123">
        <f t="shared" si="14"/>
        <v>0</v>
      </c>
      <c r="Y61" s="119">
        <f t="shared" si="15"/>
        <v>0</v>
      </c>
      <c r="Z61" s="124">
        <f t="shared" si="16"/>
        <v>0</v>
      </c>
      <c r="AA61" s="119">
        <f t="shared" si="17"/>
        <v>0</v>
      </c>
      <c r="AB61" s="124">
        <f t="shared" si="18"/>
        <v>0</v>
      </c>
      <c r="AC61" s="124">
        <f t="shared" si="19"/>
        <v>0</v>
      </c>
      <c r="AD61" s="124">
        <f t="shared" si="20"/>
        <v>0</v>
      </c>
      <c r="AE61" s="72"/>
      <c r="AF61" s="68"/>
      <c r="AG61" s="73"/>
      <c r="AH61" s="68"/>
      <c r="AI61" s="74"/>
      <c r="AJ61" s="74"/>
      <c r="AK61" s="75"/>
      <c r="AL61" s="73"/>
      <c r="AM61" s="72"/>
      <c r="AN61" s="68"/>
      <c r="AO61" s="73"/>
      <c r="AP61" s="68"/>
      <c r="AQ61" s="74"/>
      <c r="AR61" s="74"/>
      <c r="AS61" s="75"/>
      <c r="AT61" s="73"/>
      <c r="AU61" s="73"/>
      <c r="AV61" s="73"/>
      <c r="AW61" s="73"/>
      <c r="AX61" s="181"/>
      <c r="AY61" s="177"/>
      <c r="AZ61" s="182"/>
      <c r="BA61" s="177"/>
      <c r="BB61" s="183"/>
      <c r="BC61" s="183"/>
      <c r="BD61" s="184"/>
      <c r="BE61" s="72"/>
      <c r="BF61" s="68"/>
      <c r="BG61" s="73"/>
      <c r="BH61" s="68"/>
      <c r="BI61" s="74"/>
      <c r="BJ61" s="74"/>
      <c r="BK61" s="75"/>
      <c r="BL61" s="72"/>
      <c r="BM61" s="68"/>
      <c r="BN61" s="73"/>
      <c r="BO61" s="68"/>
      <c r="BP61" s="74"/>
      <c r="BQ61" s="74"/>
      <c r="BR61" s="75"/>
      <c r="BS61" s="73"/>
      <c r="BT61" s="72"/>
      <c r="BU61" s="68"/>
      <c r="BV61" s="73"/>
      <c r="BW61" s="68"/>
      <c r="BX61" s="74"/>
      <c r="BY61" s="74"/>
      <c r="BZ61" s="75"/>
      <c r="CA61" s="72"/>
      <c r="CB61" s="68"/>
      <c r="CC61" s="73"/>
      <c r="CD61" s="68"/>
      <c r="CE61" s="74"/>
      <c r="CF61" s="74"/>
      <c r="CG61" s="75"/>
    </row>
    <row r="62" spans="2:85" ht="14.5" x14ac:dyDescent="0.35">
      <c r="B62" s="33">
        <v>0.8</v>
      </c>
      <c r="C62" s="3">
        <v>8</v>
      </c>
      <c r="D62" s="27">
        <f>(X62*($T$11^$Q62))*Watts*CF_Altit</f>
        <v>0</v>
      </c>
      <c r="E62" s="3">
        <f>ROUND(((D62/Watts)/(($S$9-$S$10)*1.163))*$E$14,IF($X$4=1,0,IF($X$4=2,2)))</f>
        <v>0</v>
      </c>
      <c r="F62" s="30" t="e">
        <f>($Y$66*(E62/$E$14)^$Y$68)*$F$14</f>
        <v>#NUM!</v>
      </c>
      <c r="G62" s="4">
        <f>(Z62*($W$11^R62))*Watts*CF_Altit</f>
        <v>0</v>
      </c>
      <c r="H62" s="4">
        <f>((G62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62+0.001448)*(Tl_cool-Tavg_cold)+(0.016908*$C62-0.033574))*1.039&gt;1,1,1/(1+((2258*((0.622/(($Z$11/(1*611*EXP(17.27*(Tavg_cold/(Tavg_cold+237.3))))))-1)*1000-(0.622/(($Z$11/(RH*611*EXP(17.27*(Tl_cool/(Tl_cool+237.3))))))-1)*1000))/(1005*(Tavg_cold-Tl_cool))))*1.039+((-0.000729*$C62+0.001448)*(Tl_cool-Tavg_cold)+(0.016908*$C62-0.033574))*1.039))))*Watts</f>
        <v>0</v>
      </c>
      <c r="I62" s="3">
        <f>ROUND(((H62/Watts)/((Tr_cool-Tv_cool)*1.163))*$I$14,IF($X$4=1,0,IF($X$4=2,2)))</f>
        <v>0</v>
      </c>
      <c r="J62" s="5" t="e">
        <f>($AA$60*(I62/$I$14)^$AA$62)*$J$14</f>
        <v>#NUM!</v>
      </c>
      <c r="K62" s="59">
        <f>L62-8</f>
        <v>-8</v>
      </c>
      <c r="L62" s="53">
        <f t="shared" si="22"/>
        <v>0</v>
      </c>
      <c r="M62" s="46">
        <f t="shared" si="22"/>
        <v>0</v>
      </c>
      <c r="N62" s="64">
        <f>AD62*Cubics</f>
        <v>0</v>
      </c>
      <c r="O62" s="248" t="e">
        <f>((($D62/Watts)/(((p_atm*0.028964)/(8.31447*(20+273.15)))*(($N62/3600)/Cubics)*(1005+1870*((0.622)/(((p_atm)/($E$12*Pvs_Heat_in))-1)))))+Tl_heat)*Celc1+Celc2</f>
        <v>#DIV/0!</v>
      </c>
      <c r="P62" s="249" t="e">
        <f>(Tl_cool-(($G62/Watts)/(1006*$N62*kgss)))*Celc1+Celc2</f>
        <v>#DIV/0!</v>
      </c>
      <c r="Q62" s="215">
        <v>1</v>
      </c>
      <c r="R62" s="113">
        <f t="shared" si="8"/>
        <v>0</v>
      </c>
      <c r="S62" s="275"/>
      <c r="T62" s="276"/>
      <c r="U62" s="272"/>
      <c r="V62" s="276"/>
      <c r="W62" s="173" t="e">
        <f>(H62-G62)/H62</f>
        <v>#DIV/0!</v>
      </c>
      <c r="X62" s="123">
        <f t="shared" si="14"/>
        <v>0</v>
      </c>
      <c r="Y62" s="124">
        <f t="shared" si="15"/>
        <v>0</v>
      </c>
      <c r="Z62" s="124">
        <f t="shared" si="16"/>
        <v>0</v>
      </c>
      <c r="AA62" s="124">
        <f t="shared" si="17"/>
        <v>0</v>
      </c>
      <c r="AB62" s="124">
        <f t="shared" si="18"/>
        <v>0</v>
      </c>
      <c r="AC62" s="124">
        <f t="shared" si="19"/>
        <v>0</v>
      </c>
      <c r="AD62" s="124">
        <f t="shared" si="20"/>
        <v>0</v>
      </c>
      <c r="AE62" s="72"/>
      <c r="AF62" s="73"/>
      <c r="AG62" s="73"/>
      <c r="AH62" s="73"/>
      <c r="AI62" s="74"/>
      <c r="AJ62" s="74"/>
      <c r="AK62" s="75"/>
      <c r="AL62" s="73"/>
      <c r="AM62" s="72"/>
      <c r="AN62" s="73"/>
      <c r="AO62" s="73"/>
      <c r="AP62" s="73"/>
      <c r="AQ62" s="74"/>
      <c r="AR62" s="74"/>
      <c r="AS62" s="75"/>
      <c r="AT62" s="73"/>
      <c r="AU62" s="73"/>
      <c r="AV62" s="73"/>
      <c r="AW62" s="73"/>
      <c r="AX62" s="181"/>
      <c r="AY62" s="182"/>
      <c r="AZ62" s="182"/>
      <c r="BA62" s="182"/>
      <c r="BB62" s="183"/>
      <c r="BC62" s="183"/>
      <c r="BD62" s="184"/>
      <c r="BE62" s="72"/>
      <c r="BF62" s="73"/>
      <c r="BG62" s="73"/>
      <c r="BH62" s="73"/>
      <c r="BI62" s="74"/>
      <c r="BJ62" s="74"/>
      <c r="BK62" s="75"/>
      <c r="BL62" s="72"/>
      <c r="BM62" s="73"/>
      <c r="BN62" s="73"/>
      <c r="BO62" s="73"/>
      <c r="BP62" s="74"/>
      <c r="BQ62" s="74"/>
      <c r="BR62" s="75"/>
      <c r="BS62" s="73"/>
      <c r="BT62" s="72"/>
      <c r="BU62" s="73"/>
      <c r="BV62" s="73"/>
      <c r="BW62" s="73"/>
      <c r="BX62" s="74"/>
      <c r="BY62" s="74"/>
      <c r="BZ62" s="75"/>
      <c r="CA62" s="72"/>
      <c r="CB62" s="73"/>
      <c r="CC62" s="73"/>
      <c r="CD62" s="73"/>
      <c r="CE62" s="74"/>
      <c r="CF62" s="74"/>
      <c r="CG62" s="75"/>
    </row>
    <row r="63" spans="2:85" ht="14.5" x14ac:dyDescent="0.35">
      <c r="B63" s="33">
        <v>1</v>
      </c>
      <c r="C63" s="3">
        <v>10</v>
      </c>
      <c r="D63" s="27">
        <f>(X63*($T$11^$Q63))*Watts*CF_Altit</f>
        <v>0</v>
      </c>
      <c r="E63" s="3">
        <f>ROUND(((D63/Watts)/(($S$9-$S$10)*1.163))*$E$14,IF($X$4=1,0,IF($X$4=2,2)))</f>
        <v>0</v>
      </c>
      <c r="F63" s="30" t="e">
        <f>($Y$66*(E63/$E$14)^$Y$68)*$F$14</f>
        <v>#NUM!</v>
      </c>
      <c r="G63" s="4">
        <f>(Z63*($W$11^R63))*Watts*CF_Altit</f>
        <v>0</v>
      </c>
      <c r="H63" s="4">
        <f>((G63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63+0.001448)*(Tl_cool-Tavg_cold)+(0.016908*$C63-0.033574))*1.039&gt;1,1,1/(1+((2258*((0.622/(($Z$11/(1*611*EXP(17.27*(Tavg_cold/(Tavg_cold+237.3))))))-1)*1000-(0.622/(($Z$11/(RH*611*EXP(17.27*(Tl_cool/(Tl_cool+237.3))))))-1)*1000))/(1005*(Tavg_cold-Tl_cool))))*1.039+((-0.000729*$C63+0.001448)*(Tl_cool-Tavg_cold)+(0.016908*$C63-0.033574))*1.039))))*Watts</f>
        <v>0</v>
      </c>
      <c r="I63" s="3">
        <f>ROUND(((H63/Watts)/((Tr_cool-Tv_cool)*1.163))*$I$14,IF($X$4=1,0,IF($X$4=2,2)))</f>
        <v>0</v>
      </c>
      <c r="J63" s="5" t="e">
        <f>($AA$60*(I63/$I$14)^$AA$62)*$J$14</f>
        <v>#NUM!</v>
      </c>
      <c r="K63" s="59">
        <f>L63-8</f>
        <v>-8</v>
      </c>
      <c r="L63" s="53">
        <f t="shared" si="22"/>
        <v>0</v>
      </c>
      <c r="M63" s="46">
        <f t="shared" si="22"/>
        <v>0</v>
      </c>
      <c r="N63" s="64">
        <f>AD63*Cubics</f>
        <v>0</v>
      </c>
      <c r="O63" s="248" t="e">
        <f>((($D63/Watts)/(((p_atm*0.028964)/(8.31447*(20+273.15)))*(($N63/3600)/Cubics)*(1005+1870*((0.622)/(((p_atm)/($E$12*Pvs_Heat_in))-1)))))+Tl_heat)*Celc1+Celc2</f>
        <v>#DIV/0!</v>
      </c>
      <c r="P63" s="249" t="e">
        <f>(Tl_cool-(($G63/Watts)/(1006*$N63*kgss)))*Celc1+Celc2</f>
        <v>#DIV/0!</v>
      </c>
      <c r="Q63" s="215">
        <v>1</v>
      </c>
      <c r="R63" s="113">
        <f t="shared" si="8"/>
        <v>0</v>
      </c>
      <c r="S63" s="275"/>
      <c r="T63" s="276"/>
      <c r="U63" s="272"/>
      <c r="V63" s="276"/>
      <c r="W63" s="173" t="e">
        <f>(H63-G63)/H63</f>
        <v>#DIV/0!</v>
      </c>
      <c r="X63" s="123">
        <f t="shared" si="14"/>
        <v>0</v>
      </c>
      <c r="Y63" s="140">
        <f t="shared" si="15"/>
        <v>0</v>
      </c>
      <c r="Z63" s="129">
        <f t="shared" si="16"/>
        <v>0</v>
      </c>
      <c r="AA63" s="140">
        <f t="shared" si="17"/>
        <v>0</v>
      </c>
      <c r="AB63" s="129">
        <f t="shared" si="18"/>
        <v>0</v>
      </c>
      <c r="AC63" s="129">
        <f t="shared" si="19"/>
        <v>0</v>
      </c>
      <c r="AD63" s="129">
        <f t="shared" si="20"/>
        <v>0</v>
      </c>
      <c r="AE63" s="76"/>
      <c r="AF63" s="77"/>
      <c r="AG63" s="78"/>
      <c r="AH63" s="77"/>
      <c r="AI63" s="79"/>
      <c r="AJ63" s="79"/>
      <c r="AK63" s="80"/>
      <c r="AL63" s="78"/>
      <c r="AM63" s="76"/>
      <c r="AN63" s="77"/>
      <c r="AO63" s="78"/>
      <c r="AP63" s="77"/>
      <c r="AQ63" s="79"/>
      <c r="AR63" s="79"/>
      <c r="AS63" s="80"/>
      <c r="AT63" s="73"/>
      <c r="AU63" s="73"/>
      <c r="AV63" s="73"/>
      <c r="AW63" s="73"/>
      <c r="AX63" s="185"/>
      <c r="AY63" s="186"/>
      <c r="AZ63" s="187"/>
      <c r="BA63" s="186"/>
      <c r="BB63" s="188"/>
      <c r="BC63" s="188"/>
      <c r="BD63" s="189"/>
      <c r="BE63" s="76"/>
      <c r="BF63" s="77"/>
      <c r="BG63" s="78"/>
      <c r="BH63" s="77"/>
      <c r="BI63" s="79"/>
      <c r="BJ63" s="79"/>
      <c r="BK63" s="80"/>
      <c r="BL63" s="76"/>
      <c r="BM63" s="77"/>
      <c r="BN63" s="78"/>
      <c r="BO63" s="77"/>
      <c r="BP63" s="79"/>
      <c r="BQ63" s="79"/>
      <c r="BR63" s="80"/>
      <c r="BS63" s="73"/>
      <c r="BT63" s="76"/>
      <c r="BU63" s="77"/>
      <c r="BV63" s="78"/>
      <c r="BW63" s="77"/>
      <c r="BX63" s="79"/>
      <c r="BY63" s="79"/>
      <c r="BZ63" s="80"/>
      <c r="CA63" s="76"/>
      <c r="CB63" s="77"/>
      <c r="CC63" s="78"/>
      <c r="CD63" s="77"/>
      <c r="CE63" s="79"/>
      <c r="CF63" s="79"/>
      <c r="CG63" s="80"/>
    </row>
    <row r="64" spans="2:85" ht="16.899999999999999" customHeight="1" x14ac:dyDescent="0.35">
      <c r="B64" s="337" t="str">
        <f>IF($S$7=1,NL!A63,IF(cal!$S$7=2,EN!A63,IF(cal!$S$7=3,DE!A63,IF(cal!$S$7=4,FR!A63,IF(cal!$S$7=5,NR!A63,IF(cal!$S$7=6,SP!A63,IF(cal!$S$7=7,SW!A63,IF(cal!$S$7=8,TS!A63,IF(cal!$S$7=9,ExtraTaal1!A63,IF(cal!$S$7=10,ExtraTaal2!A63,IF(cal!$S$7=11,ExtraTaal3!A63,)))))))))))</f>
        <v>Freedom height 0 cm width 0 cm length 0 cm (Type 9)</v>
      </c>
      <c r="C64" s="338">
        <f>IF($S$7=1,NL!B63,IF(cal!$S$7=2,EN!B63,IF(cal!$S$7=3,DE!B63,IF(cal!$S$7=4,FR!B63,IF(cal!$S$7=5,NR!B63,IF(cal!$S$7=6,SP!B63,IF(cal!$S$7=7,SW!B63,IF(cal!$S$7=8,TS!B63,IF(cal!$S$7=9,ExtraTaal1!B63,IF(cal!$S$7=10,ExtraTaal2!B63,IF(cal!$S$7=11,ExtraTaal3!B63,)))))))))))</f>
        <v>0</v>
      </c>
      <c r="D64" s="338">
        <f>IF($S$7=1,NL!C63,IF(cal!$S$7=2,EN!C63,IF(cal!$S$7=3,DE!C63,IF(cal!$S$7=4,FR!C63,IF(cal!$S$7=5,NR!C63,IF(cal!$S$7=6,SP!C63,IF(cal!$S$7=7,SW!C63,IF(cal!$S$7=8,TS!C63,IF(cal!$S$7=9,ExtraTaal1!C63,IF(cal!$S$7=10,ExtraTaal2!C63,IF(cal!$S$7=11,ExtraTaal3!C63,)))))))))))</f>
        <v>0</v>
      </c>
      <c r="E64" s="338">
        <f>IF($S$7=1,NL!D63,IF(cal!$S$7=2,EN!D63,IF(cal!$S$7=3,DE!D63,IF(cal!$S$7=4,FR!D63,IF(cal!$S$7=5,NR!D63,IF(cal!$S$7=6,SP!D63,IF(cal!$S$7=7,SW!D63,IF(cal!$S$7=8,TS!D63,IF(cal!$S$7=9,ExtraTaal1!D63,IF(cal!$S$7=10,ExtraTaal2!D63,IF(cal!$S$7=11,ExtraTaal3!D63,)))))))))))</f>
        <v>0</v>
      </c>
      <c r="F64" s="338">
        <f>IF($S$7=1,NL!E63,IF(cal!$S$7=2,EN!E63,IF(cal!$S$7=3,DE!E63,IF(cal!$S$7=4,FR!E63,IF(cal!$S$7=5,NR!E63,IF(cal!$S$7=6,SP!E63,IF(cal!$S$7=7,SW!E63,IF(cal!$S$7=8,TS!E63,IF(cal!$S$7=9,ExtraTaal1!E63,IF(cal!$S$7=10,ExtraTaal2!E63,IF(cal!$S$7=11,ExtraTaal3!E63,)))))))))))</f>
        <v>0</v>
      </c>
      <c r="G64" s="338">
        <f>IF($S$7=1,NL!F63,IF(cal!$S$7=2,EN!F63,IF(cal!$S$7=3,DE!F63,IF(cal!$S$7=4,FR!F63,IF(cal!$S$7=5,NR!F63,IF(cal!$S$7=6,SP!F63,IF(cal!$S$7=7,SW!F63,IF(cal!$S$7=8,TS!F63,IF(cal!$S$7=9,ExtraTaal1!F63,IF(cal!$S$7=10,ExtraTaal2!F63,IF(cal!$S$7=11,ExtraTaal3!F63,)))))))))))</f>
        <v>0</v>
      </c>
      <c r="H64" s="338">
        <f>IF($S$7=1,NL!G63,IF(cal!$S$7=2,EN!G63,IF(cal!$S$7=3,DE!G63,IF(cal!$S$7=4,FR!G63,IF(cal!$S$7=5,NR!G63,IF(cal!$S$7=6,SP!G63,IF(cal!$S$7=7,SW!G63,IF(cal!$S$7=8,TS!G63,IF(cal!$S$7=9,ExtraTaal1!G63,IF(cal!$S$7=10,ExtraTaal2!G63,IF(cal!$S$7=11,ExtraTaal3!G63,)))))))))))</f>
        <v>0</v>
      </c>
      <c r="I64" s="338">
        <f>IF($S$7=1,NL!H63,IF(cal!$S$7=2,EN!H63,IF(cal!$S$7=3,DE!H63,IF(cal!$S$7=4,FR!H63,IF(cal!$S$7=5,NR!H63,IF(cal!$S$7=6,SP!H63,IF(cal!$S$7=7,SW!H63,IF(cal!$S$7=8,TS!H63,IF(cal!$S$7=9,ExtraTaal1!H63,IF(cal!$S$7=10,ExtraTaal2!H63,IF(cal!$S$7=11,ExtraTaal3!H63,)))))))))))</f>
        <v>0</v>
      </c>
      <c r="J64" s="338">
        <f>IF($S$7=1,NL!I63,IF(cal!$S$7=2,EN!I63,IF(cal!$S$7=3,DE!I63,IF(cal!$S$7=4,FR!I63,IF(cal!$S$7=5,NR!I63,IF(cal!$S$7=6,SP!I63,IF(cal!$S$7=7,SW!I63,IF(cal!$S$7=8,TS!I63,IF(cal!$S$7=9,ExtraTaal1!I63,IF(cal!$S$7=10,ExtraTaal2!I63,IF(cal!$S$7=11,ExtraTaal3!I63,)))))))))))</f>
        <v>0</v>
      </c>
      <c r="K64" s="338">
        <f>IF($S$7=1,NL!J63,IF(cal!$S$7=2,EN!J63,IF(cal!$S$7=3,DE!J63,IF(cal!$S$7=4,FR!J63,IF(cal!$S$7=5,NR!J63,IF(cal!$S$7=6,SP!J63,IF(cal!$S$7=7,SW!J63,IF(cal!$S$7=8,TS!J63,IF(cal!$S$7=9,ExtraTaal1!J63,IF(cal!$S$7=10,ExtraTaal2!J63,IF(cal!$S$7=11,ExtraTaal3!J63,)))))))))))</f>
        <v>0</v>
      </c>
      <c r="L64" s="338">
        <f>IF($S$7=1,NL!K63,IF(cal!$S$7=2,EN!K63,IF(cal!$S$7=3,DE!K63,IF(cal!$S$7=4,FR!K63,IF(cal!$S$7=5,NR!K63,IF(cal!$S$7=6,SP!K63,IF(cal!$S$7=7,SW!K63,IF(cal!$S$7=8,TS!K63,IF(cal!$S$7=9,ExtraTaal1!K63,IF(cal!$S$7=10,ExtraTaal2!K63,IF(cal!$S$7=11,ExtraTaal3!K63,)))))))))))</f>
        <v>0</v>
      </c>
      <c r="M64" s="338">
        <f>IF($S$7=1,NL!L63,IF(cal!$S$7=2,EN!L63,IF(cal!$S$7=3,DE!L63,IF(cal!$S$7=4,FR!L63,IF(cal!$S$7=5,NR!L63,IF(cal!$S$7=6,SP!L63,IF(cal!$S$7=7,SW!L63,IF(cal!$S$7=8,TS!L63,IF(cal!$S$7=9,ExtraTaal1!L63,IF(cal!$S$7=10,ExtraTaal2!L63,IF(cal!$S$7=11,ExtraTaal3!L63,)))))))))))</f>
        <v>0</v>
      </c>
      <c r="N64" s="338">
        <f>IF($S$7=1,NL!M63,IF(cal!$S$7=2,EN!M63,IF(cal!$S$7=3,DE!M63,IF(cal!$S$7=4,FR!M63,IF(cal!$S$7=5,NR!M63,IF(cal!$S$7=6,SP!M63,IF(cal!$S$7=7,SW!M63,IF(cal!$S$7=8,TS!M63,IF(cal!$S$7=9,ExtraTaal1!M63,IF(cal!$S$7=10,ExtraTaal2!M63,IF(cal!$S$7=11,ExtraTaal3!M63,)))))))))))</f>
        <v>0</v>
      </c>
      <c r="O64" s="338">
        <f>IF($S$7=1,NL!N63,IF(cal!$S$7=2,EN!N63,IF(cal!$S$7=3,DE!N63,IF(cal!$S$7=4,FR!N63,IF(cal!$S$7=5,NR!N63,IF(cal!$S$7=6,SP!N63,IF(cal!$S$7=7,SW!N63,IF(cal!$S$7=8,TS!N63,IF(cal!$S$7=9,ExtraTaal1!N63,IF(cal!$S$7=10,ExtraTaal2!N63,IF(cal!$S$7=11,ExtraTaal3!N63,)))))))))))</f>
        <v>0</v>
      </c>
      <c r="P64" s="339">
        <f>IF($S$7=1,NL!O63,IF(cal!$S$7=2,EN!O63,IF(cal!$S$7=3,DE!O63,IF(cal!$S$7=4,FR!O63,IF(cal!$S$7=5,NR!O63,IF(cal!$S$7=6,SP!O63,IF(cal!$S$7=7,SW!O63,IF(cal!$S$7=8,TS!O63,IF(cal!$S$7=9,ExtraTaal1!O63,IF(cal!$S$7=10,ExtraTaal2!O63,IF(cal!$S$7=11,ExtraTaal3!O63,)))))))))))</f>
        <v>0</v>
      </c>
      <c r="Q64" s="204" t="s">
        <v>11</v>
      </c>
      <c r="R64" s="193">
        <f t="shared" si="8"/>
        <v>0</v>
      </c>
      <c r="S64" s="280"/>
      <c r="T64" s="281"/>
      <c r="U64" s="282"/>
      <c r="V64" s="281"/>
      <c r="W64" s="173"/>
      <c r="X64" s="132">
        <f t="shared" si="14"/>
        <v>0</v>
      </c>
      <c r="Y64" s="147">
        <f t="shared" si="15"/>
        <v>0</v>
      </c>
      <c r="Z64" s="132">
        <f t="shared" si="16"/>
        <v>0</v>
      </c>
      <c r="AA64" s="147">
        <f t="shared" si="17"/>
        <v>0</v>
      </c>
      <c r="AB64" s="132">
        <f t="shared" si="18"/>
        <v>0</v>
      </c>
      <c r="AC64" s="137">
        <f t="shared" si="19"/>
        <v>0</v>
      </c>
      <c r="AD64" s="135">
        <f t="shared" si="20"/>
        <v>0</v>
      </c>
      <c r="AE64" s="83"/>
      <c r="AF64" s="84"/>
      <c r="AG64" s="83"/>
      <c r="AH64" s="84"/>
      <c r="AI64" s="83"/>
      <c r="AJ64" s="84"/>
      <c r="AK64" s="82"/>
      <c r="AL64" s="82"/>
      <c r="AM64" s="83"/>
      <c r="AN64" s="84"/>
      <c r="AO64" s="83"/>
      <c r="AP64" s="84"/>
      <c r="AQ64" s="83"/>
      <c r="AR64" s="84"/>
      <c r="AS64" s="87"/>
      <c r="AT64" s="86"/>
      <c r="AU64" s="86"/>
      <c r="AV64" s="86"/>
      <c r="AW64" s="86"/>
      <c r="AX64" s="190"/>
      <c r="AY64" s="191"/>
      <c r="AZ64" s="190"/>
      <c r="BA64" s="191"/>
      <c r="BB64" s="190"/>
      <c r="BC64" s="191"/>
      <c r="BD64" s="192"/>
      <c r="BE64" s="83"/>
      <c r="BF64" s="84"/>
      <c r="BG64" s="83"/>
      <c r="BH64" s="84"/>
      <c r="BI64" s="83"/>
      <c r="BJ64" s="84"/>
      <c r="BK64" s="82"/>
      <c r="BL64" s="83"/>
      <c r="BM64" s="84"/>
      <c r="BN64" s="83"/>
      <c r="BO64" s="84"/>
      <c r="BP64" s="83"/>
      <c r="BQ64" s="84"/>
      <c r="BR64" s="87"/>
      <c r="BS64" s="86"/>
      <c r="BT64" s="83"/>
      <c r="BU64" s="84"/>
      <c r="BV64" s="83"/>
      <c r="BW64" s="84"/>
      <c r="BX64" s="83"/>
      <c r="BY64" s="84"/>
      <c r="BZ64" s="82"/>
      <c r="CA64" s="83"/>
      <c r="CB64" s="84"/>
      <c r="CC64" s="83"/>
      <c r="CD64" s="84"/>
      <c r="CE64" s="83"/>
      <c r="CF64" s="84"/>
      <c r="CG64" s="87"/>
    </row>
    <row r="65" spans="2:85" ht="14.5" x14ac:dyDescent="0.35">
      <c r="B65" s="33">
        <v>0.2</v>
      </c>
      <c r="C65" s="3">
        <v>2</v>
      </c>
      <c r="D65" s="27">
        <f>(X65*($T$11^$Q65))*Watts*CF_Altit</f>
        <v>0</v>
      </c>
      <c r="E65" s="3">
        <f>ROUND(((D65/Watts)/(($S$9-$S$10)*1.163))*$E$14,IF($X$4=1,0,IF($X$4=2,2)))</f>
        <v>0</v>
      </c>
      <c r="F65" s="30" t="e">
        <f>($Y$66*(E65/$E$14)^$Y$68)*$F$14</f>
        <v>#NUM!</v>
      </c>
      <c r="G65" s="4">
        <f>(Z65*($W$11^R65))*Watts*CF_Altit</f>
        <v>0</v>
      </c>
      <c r="H65" s="4">
        <f>((G65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65+0.001448)*(Tl_cool-Tavg_cold)+(0.016908*$C65-0.033574))*1.039&gt;1,1,1/(1+((2258*((0.622/(($Z$11/(1*611*EXP(17.27*(Tavg_cold/(Tavg_cold+237.3))))))-1)*1000-(0.622/(($Z$11/(RH*611*EXP(17.27*(Tl_cool/(Tl_cool+237.3))))))-1)*1000))/(1005*(Tavg_cold-Tl_cool))))*1.039+((-0.000729*$C65+0.001448)*(Tl_cool-Tavg_cold)+(0.016908*$C65-0.033574))*1.039))))*Watts</f>
        <v>0</v>
      </c>
      <c r="I65" s="3">
        <f>ROUND(((H65/Watts)/((Tr_cool-Tv_cool)*1.163))*$I$14,IF($X$4=1,0,IF($X$4=2,2)))</f>
        <v>0</v>
      </c>
      <c r="J65" s="5" t="e">
        <f>($AA$66*(I65/$I$14)^$AA$68)*$J$14</f>
        <v>#NUM!</v>
      </c>
      <c r="K65" s="59">
        <f>L65-8</f>
        <v>-8</v>
      </c>
      <c r="L65" s="53">
        <f t="shared" ref="L65:M69" si="23">AB65</f>
        <v>0</v>
      </c>
      <c r="M65" s="46">
        <f t="shared" si="23"/>
        <v>0</v>
      </c>
      <c r="N65" s="64">
        <f>AD65*Cubics</f>
        <v>0</v>
      </c>
      <c r="O65" s="246" t="e">
        <f>((($D65/Watts)/(((p_atm*0.028964)/(8.31447*(20+273.15)))*(($N65/3600)/Cubics)*(1005+1870*((0.622)/(((p_atm)/($E$12*Pvs_Heat_in))-1)))))+Tl_heat)*Celc1+Celc2</f>
        <v>#DIV/0!</v>
      </c>
      <c r="P65" s="247" t="e">
        <f>(Tl_cool-(($G65/Watts)/(1006*$N65*kgss)))*Celc1+Celc2</f>
        <v>#DIV/0!</v>
      </c>
      <c r="Q65" s="215">
        <v>1</v>
      </c>
      <c r="R65" s="113">
        <f t="shared" si="8"/>
        <v>0</v>
      </c>
      <c r="S65" s="275"/>
      <c r="T65" s="276"/>
      <c r="U65" s="272"/>
      <c r="V65" s="276"/>
      <c r="W65" s="173" t="e">
        <f>(H65-G65)/H65</f>
        <v>#DIV/0!</v>
      </c>
      <c r="X65" s="118">
        <f t="shared" si="14"/>
        <v>0</v>
      </c>
      <c r="Y65" s="119">
        <f t="shared" si="15"/>
        <v>0</v>
      </c>
      <c r="Z65" s="120">
        <f t="shared" si="16"/>
        <v>0</v>
      </c>
      <c r="AA65" s="119">
        <f t="shared" si="17"/>
        <v>0</v>
      </c>
      <c r="AB65" s="120">
        <f t="shared" si="18"/>
        <v>0</v>
      </c>
      <c r="AC65" s="120">
        <f t="shared" si="19"/>
        <v>0</v>
      </c>
      <c r="AD65" s="120">
        <f t="shared" si="20"/>
        <v>0</v>
      </c>
      <c r="AE65" s="67"/>
      <c r="AF65" s="68"/>
      <c r="AG65" s="69"/>
      <c r="AH65" s="68"/>
      <c r="AI65" s="70"/>
      <c r="AJ65" s="70"/>
      <c r="AK65" s="71"/>
      <c r="AL65" s="69"/>
      <c r="AM65" s="67"/>
      <c r="AN65" s="68"/>
      <c r="AO65" s="69"/>
      <c r="AP65" s="68"/>
      <c r="AQ65" s="70"/>
      <c r="AR65" s="70"/>
      <c r="AS65" s="71"/>
      <c r="AT65" s="73"/>
      <c r="AU65" s="73"/>
      <c r="AV65" s="73"/>
      <c r="AW65" s="73"/>
      <c r="AX65" s="176"/>
      <c r="AY65" s="177"/>
      <c r="AZ65" s="178"/>
      <c r="BA65" s="177"/>
      <c r="BB65" s="179"/>
      <c r="BC65" s="179"/>
      <c r="BD65" s="180"/>
      <c r="BE65" s="67"/>
      <c r="BF65" s="68"/>
      <c r="BG65" s="69"/>
      <c r="BH65" s="68"/>
      <c r="BI65" s="70"/>
      <c r="BJ65" s="70"/>
      <c r="BK65" s="71"/>
      <c r="BL65" s="67"/>
      <c r="BM65" s="68"/>
      <c r="BN65" s="69"/>
      <c r="BO65" s="68"/>
      <c r="BP65" s="70"/>
      <c r="BQ65" s="70"/>
      <c r="BR65" s="71"/>
      <c r="BS65" s="73"/>
      <c r="BT65" s="67"/>
      <c r="BU65" s="68"/>
      <c r="BV65" s="69"/>
      <c r="BW65" s="68"/>
      <c r="BX65" s="70"/>
      <c r="BY65" s="70"/>
      <c r="BZ65" s="71"/>
      <c r="CA65" s="67"/>
      <c r="CB65" s="68"/>
      <c r="CC65" s="69"/>
      <c r="CD65" s="68"/>
      <c r="CE65" s="70"/>
      <c r="CF65" s="70"/>
      <c r="CG65" s="71"/>
    </row>
    <row r="66" spans="2:85" ht="14.5" x14ac:dyDescent="0.35">
      <c r="B66" s="33">
        <v>0.4</v>
      </c>
      <c r="C66" s="3">
        <v>4</v>
      </c>
      <c r="D66" s="27">
        <f>(X66*($T$11^$Q66))*Watts*CF_Altit</f>
        <v>0</v>
      </c>
      <c r="E66" s="3">
        <f>ROUND(((D66/Watts)/(($S$9-$S$10)*1.163))*$E$14,IF($X$4=1,0,IF($X$4=2,2)))</f>
        <v>0</v>
      </c>
      <c r="F66" s="30" t="e">
        <f>($Y$66*(E66/$E$14)^$Y$68)*$F$14</f>
        <v>#NUM!</v>
      </c>
      <c r="G66" s="4">
        <f>(Z66*($W$11^R66))*Watts*CF_Altit</f>
        <v>0</v>
      </c>
      <c r="H66" s="4">
        <f>((G66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66+0.001448)*(Tl_cool-Tavg_cold)+(0.016908*$C66-0.033574))*1.039&gt;1,1,1/(1+((2258*((0.622/(($Z$11/(1*611*EXP(17.27*(Tavg_cold/(Tavg_cold+237.3))))))-1)*1000-(0.622/(($Z$11/(RH*611*EXP(17.27*(Tl_cool/(Tl_cool+237.3))))))-1)*1000))/(1005*(Tavg_cold-Tl_cool))))*1.039+((-0.000729*$C66+0.001448)*(Tl_cool-Tavg_cold)+(0.016908*$C66-0.033574))*1.039))))*Watts</f>
        <v>0</v>
      </c>
      <c r="I66" s="3">
        <f>ROUND(((H66/Watts)/((Tr_cool-Tv_cool)*1.163))*$I$14,IF($X$4=1,0,IF($X$4=2,2)))</f>
        <v>0</v>
      </c>
      <c r="J66" s="5" t="e">
        <f>($AA$66*(I66/$I$14)^$AA$68)*$J$14</f>
        <v>#NUM!</v>
      </c>
      <c r="K66" s="59">
        <f>L66-8</f>
        <v>-8</v>
      </c>
      <c r="L66" s="53">
        <f t="shared" si="23"/>
        <v>0</v>
      </c>
      <c r="M66" s="46">
        <f t="shared" si="23"/>
        <v>0</v>
      </c>
      <c r="N66" s="64">
        <f>AD66*Cubics</f>
        <v>0</v>
      </c>
      <c r="O66" s="248" t="e">
        <f>((($D66/Watts)/(((p_atm*0.028964)/(8.31447*(20+273.15)))*(($N66/3600)/Cubics)*(1005+1870*((0.622)/(((p_atm)/($E$12*Pvs_Heat_in))-1)))))+Tl_heat)*Celc1+Celc2</f>
        <v>#DIV/0!</v>
      </c>
      <c r="P66" s="249" t="e">
        <f>(Tl_cool-(($G66/Watts)/(1006*$N66*kgss)))*Celc1+Celc2</f>
        <v>#DIV/0!</v>
      </c>
      <c r="Q66" s="215">
        <v>1</v>
      </c>
      <c r="R66" s="113">
        <f t="shared" si="8"/>
        <v>0</v>
      </c>
      <c r="S66" s="275"/>
      <c r="T66" s="276"/>
      <c r="U66" s="272"/>
      <c r="V66" s="276"/>
      <c r="W66" s="173" t="e">
        <f>(H66-G66)/H66</f>
        <v>#DIV/0!</v>
      </c>
      <c r="X66" s="123">
        <f t="shared" si="14"/>
        <v>0</v>
      </c>
      <c r="Y66" s="124">
        <f t="shared" si="15"/>
        <v>0</v>
      </c>
      <c r="Z66" s="124">
        <f t="shared" si="16"/>
        <v>0</v>
      </c>
      <c r="AA66" s="124">
        <f t="shared" si="17"/>
        <v>0</v>
      </c>
      <c r="AB66" s="124">
        <f t="shared" si="18"/>
        <v>0</v>
      </c>
      <c r="AC66" s="124">
        <f t="shared" si="19"/>
        <v>0</v>
      </c>
      <c r="AD66" s="124">
        <f t="shared" si="20"/>
        <v>0</v>
      </c>
      <c r="AE66" s="72"/>
      <c r="AF66" s="73"/>
      <c r="AG66" s="73"/>
      <c r="AH66" s="73"/>
      <c r="AI66" s="74"/>
      <c r="AJ66" s="74"/>
      <c r="AK66" s="75"/>
      <c r="AL66" s="73"/>
      <c r="AM66" s="72"/>
      <c r="AN66" s="73"/>
      <c r="AO66" s="73"/>
      <c r="AP66" s="73"/>
      <c r="AQ66" s="74"/>
      <c r="AR66" s="74"/>
      <c r="AS66" s="75"/>
      <c r="AT66" s="73"/>
      <c r="AU66" s="73"/>
      <c r="AV66" s="73"/>
      <c r="AW66" s="73"/>
      <c r="AX66" s="181"/>
      <c r="AY66" s="182"/>
      <c r="AZ66" s="182"/>
      <c r="BA66" s="182"/>
      <c r="BB66" s="183"/>
      <c r="BC66" s="183"/>
      <c r="BD66" s="184"/>
      <c r="BE66" s="72"/>
      <c r="BF66" s="73"/>
      <c r="BG66" s="73"/>
      <c r="BH66" s="73"/>
      <c r="BI66" s="74"/>
      <c r="BJ66" s="74"/>
      <c r="BK66" s="75"/>
      <c r="BL66" s="72"/>
      <c r="BM66" s="73"/>
      <c r="BN66" s="73"/>
      <c r="BO66" s="73"/>
      <c r="BP66" s="74"/>
      <c r="BQ66" s="74"/>
      <c r="BR66" s="75"/>
      <c r="BS66" s="73"/>
      <c r="BT66" s="72"/>
      <c r="BU66" s="73"/>
      <c r="BV66" s="73"/>
      <c r="BW66" s="73"/>
      <c r="BX66" s="74"/>
      <c r="BY66" s="74"/>
      <c r="BZ66" s="75"/>
      <c r="CA66" s="72"/>
      <c r="CB66" s="73"/>
      <c r="CC66" s="73"/>
      <c r="CD66" s="73"/>
      <c r="CE66" s="74"/>
      <c r="CF66" s="74"/>
      <c r="CG66" s="75"/>
    </row>
    <row r="67" spans="2:85" ht="14.5" x14ac:dyDescent="0.35">
      <c r="B67" s="33">
        <v>0.6</v>
      </c>
      <c r="C67" s="3">
        <v>6</v>
      </c>
      <c r="D67" s="27">
        <f>(X67*($T$11^$Q67))*Watts*CF_Altit</f>
        <v>0</v>
      </c>
      <c r="E67" s="3">
        <f>ROUND(((D67/Watts)/(($S$9-$S$10)*1.163))*$E$14,IF($X$4=1,0,IF($X$4=2,2)))</f>
        <v>0</v>
      </c>
      <c r="F67" s="30" t="e">
        <f>($Y$66*(E67/$E$14)^$Y$68)*$F$14</f>
        <v>#NUM!</v>
      </c>
      <c r="G67" s="4">
        <f>(Z67*($W$11^R67))*Watts*CF_Altit</f>
        <v>0</v>
      </c>
      <c r="H67" s="4">
        <f>((G67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67+0.001448)*(Tl_cool-Tavg_cold)+(0.016908*$C67-0.033574))*1.039&gt;1,1,1/(1+((2258*((0.622/(($Z$11/(1*611*EXP(17.27*(Tavg_cold/(Tavg_cold+237.3))))))-1)*1000-(0.622/(($Z$11/(RH*611*EXP(17.27*(Tl_cool/(Tl_cool+237.3))))))-1)*1000))/(1005*(Tavg_cold-Tl_cool))))*1.039+((-0.000729*$C67+0.001448)*(Tl_cool-Tavg_cold)+(0.016908*$C67-0.033574))*1.039))))*Watts</f>
        <v>0</v>
      </c>
      <c r="I67" s="3">
        <f>ROUND(((H67/Watts)/((Tr_cool-Tv_cool)*1.163))*$I$14,IF($X$4=1,0,IF($X$4=2,2)))</f>
        <v>0</v>
      </c>
      <c r="J67" s="5" t="e">
        <f>($AA$66*(I67/$I$14)^$AA$68)*$J$14</f>
        <v>#NUM!</v>
      </c>
      <c r="K67" s="59">
        <f>L67-8</f>
        <v>-8</v>
      </c>
      <c r="L67" s="53">
        <f t="shared" si="23"/>
        <v>0</v>
      </c>
      <c r="M67" s="46">
        <f t="shared" si="23"/>
        <v>0</v>
      </c>
      <c r="N67" s="64">
        <f>AD67*Cubics</f>
        <v>0</v>
      </c>
      <c r="O67" s="248" t="e">
        <f>((($D67/Watts)/(((p_atm*0.028964)/(8.31447*(20+273.15)))*(($N67/3600)/Cubics)*(1005+1870*((0.622)/(((p_atm)/($E$12*Pvs_Heat_in))-1)))))+Tl_heat)*Celc1+Celc2</f>
        <v>#DIV/0!</v>
      </c>
      <c r="P67" s="249" t="e">
        <f>(Tl_cool-(($G67/Watts)/(1006*$N67*kgss)))*Celc1+Celc2</f>
        <v>#DIV/0!</v>
      </c>
      <c r="Q67" s="215">
        <v>1</v>
      </c>
      <c r="R67" s="113">
        <f t="shared" si="8"/>
        <v>0</v>
      </c>
      <c r="S67" s="275"/>
      <c r="T67" s="276"/>
      <c r="U67" s="272"/>
      <c r="V67" s="276"/>
      <c r="W67" s="173" t="e">
        <f>(H67-G67)/H67</f>
        <v>#DIV/0!</v>
      </c>
      <c r="X67" s="123">
        <f t="shared" si="14"/>
        <v>0</v>
      </c>
      <c r="Y67" s="119">
        <f t="shared" si="15"/>
        <v>0</v>
      </c>
      <c r="Z67" s="124">
        <f t="shared" si="16"/>
        <v>0</v>
      </c>
      <c r="AA67" s="119">
        <f t="shared" si="17"/>
        <v>0</v>
      </c>
      <c r="AB67" s="124">
        <f t="shared" si="18"/>
        <v>0</v>
      </c>
      <c r="AC67" s="124">
        <f t="shared" si="19"/>
        <v>0</v>
      </c>
      <c r="AD67" s="124">
        <f t="shared" si="20"/>
        <v>0</v>
      </c>
      <c r="AE67" s="72"/>
      <c r="AF67" s="68"/>
      <c r="AG67" s="73"/>
      <c r="AH67" s="68"/>
      <c r="AI67" s="74"/>
      <c r="AJ67" s="74"/>
      <c r="AK67" s="75"/>
      <c r="AL67" s="73"/>
      <c r="AM67" s="72"/>
      <c r="AN67" s="68"/>
      <c r="AO67" s="73"/>
      <c r="AP67" s="68"/>
      <c r="AQ67" s="74"/>
      <c r="AR67" s="74"/>
      <c r="AS67" s="75"/>
      <c r="AT67" s="73"/>
      <c r="AU67" s="73"/>
      <c r="AV67" s="73"/>
      <c r="AW67" s="73"/>
      <c r="AX67" s="181"/>
      <c r="AY67" s="177"/>
      <c r="AZ67" s="182"/>
      <c r="BA67" s="177"/>
      <c r="BB67" s="183"/>
      <c r="BC67" s="183"/>
      <c r="BD67" s="184"/>
      <c r="BE67" s="72"/>
      <c r="BF67" s="68"/>
      <c r="BG67" s="73"/>
      <c r="BH67" s="68"/>
      <c r="BI67" s="74"/>
      <c r="BJ67" s="74"/>
      <c r="BK67" s="75"/>
      <c r="BL67" s="72"/>
      <c r="BM67" s="68"/>
      <c r="BN67" s="73"/>
      <c r="BO67" s="68"/>
      <c r="BP67" s="74"/>
      <c r="BQ67" s="74"/>
      <c r="BR67" s="75"/>
      <c r="BS67" s="73"/>
      <c r="BT67" s="72"/>
      <c r="BU67" s="68"/>
      <c r="BV67" s="73"/>
      <c r="BW67" s="68"/>
      <c r="BX67" s="74"/>
      <c r="BY67" s="74"/>
      <c r="BZ67" s="75"/>
      <c r="CA67" s="72"/>
      <c r="CB67" s="68"/>
      <c r="CC67" s="73"/>
      <c r="CD67" s="68"/>
      <c r="CE67" s="74"/>
      <c r="CF67" s="74"/>
      <c r="CG67" s="75"/>
    </row>
    <row r="68" spans="2:85" ht="14.5" x14ac:dyDescent="0.35">
      <c r="B68" s="33">
        <v>0.8</v>
      </c>
      <c r="C68" s="3">
        <v>8</v>
      </c>
      <c r="D68" s="27">
        <f>(X68*($T$11^$Q68))*Watts*CF_Altit</f>
        <v>0</v>
      </c>
      <c r="E68" s="3">
        <f>ROUND(((D68/Watts)/(($S$9-$S$10)*1.163))*$E$14,IF($X$4=1,0,IF($X$4=2,2)))</f>
        <v>0</v>
      </c>
      <c r="F68" s="30" t="e">
        <f>($Y$66*(E68/$E$14)^$Y$68)*$F$14</f>
        <v>#NUM!</v>
      </c>
      <c r="G68" s="4">
        <f>(Z68*($W$11^R68))*Watts*CF_Altit</f>
        <v>0</v>
      </c>
      <c r="H68" s="4">
        <f>((G68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68+0.001448)*(Tl_cool-Tavg_cold)+(0.016908*$C68-0.033574))*1.039&gt;1,1,1/(1+((2258*((0.622/(($Z$11/(1*611*EXP(17.27*(Tavg_cold/(Tavg_cold+237.3))))))-1)*1000-(0.622/(($Z$11/(RH*611*EXP(17.27*(Tl_cool/(Tl_cool+237.3))))))-1)*1000))/(1005*(Tavg_cold-Tl_cool))))*1.039+((-0.000729*$C68+0.001448)*(Tl_cool-Tavg_cold)+(0.016908*$C68-0.033574))*1.039))))*Watts</f>
        <v>0</v>
      </c>
      <c r="I68" s="3">
        <f>ROUND(((H68/Watts)/((Tr_cool-Tv_cool)*1.163))*$I$14,IF($X$4=1,0,IF($X$4=2,2)))</f>
        <v>0</v>
      </c>
      <c r="J68" s="5" t="e">
        <f>($AA$66*(I68/$I$14)^$AA$68)*$J$14</f>
        <v>#NUM!</v>
      </c>
      <c r="K68" s="59">
        <f>L68-8</f>
        <v>-8</v>
      </c>
      <c r="L68" s="53">
        <f t="shared" si="23"/>
        <v>0</v>
      </c>
      <c r="M68" s="46">
        <f t="shared" si="23"/>
        <v>0</v>
      </c>
      <c r="N68" s="64">
        <f>AD68*Cubics</f>
        <v>0</v>
      </c>
      <c r="O68" s="248" t="e">
        <f>((($D68/Watts)/(((p_atm*0.028964)/(8.31447*(20+273.15)))*(($N68/3600)/Cubics)*(1005+1870*((0.622)/(((p_atm)/($E$12*Pvs_Heat_in))-1)))))+Tl_heat)*Celc1+Celc2</f>
        <v>#DIV/0!</v>
      </c>
      <c r="P68" s="249" t="e">
        <f>(Tl_cool-(($G68/Watts)/(1006*$N68*kgss)))*Celc1+Celc2</f>
        <v>#DIV/0!</v>
      </c>
      <c r="Q68" s="215">
        <v>1</v>
      </c>
      <c r="R68" s="113">
        <f t="shared" si="8"/>
        <v>0</v>
      </c>
      <c r="S68" s="275"/>
      <c r="T68" s="276"/>
      <c r="U68" s="272"/>
      <c r="V68" s="276"/>
      <c r="W68" s="173" t="e">
        <f>(H68-G68)/H68</f>
        <v>#DIV/0!</v>
      </c>
      <c r="X68" s="123">
        <f t="shared" si="14"/>
        <v>0</v>
      </c>
      <c r="Y68" s="124">
        <f t="shared" si="15"/>
        <v>0</v>
      </c>
      <c r="Z68" s="124">
        <f t="shared" si="16"/>
        <v>0</v>
      </c>
      <c r="AA68" s="124">
        <f t="shared" si="17"/>
        <v>0</v>
      </c>
      <c r="AB68" s="124">
        <f t="shared" si="18"/>
        <v>0</v>
      </c>
      <c r="AC68" s="124">
        <f t="shared" si="19"/>
        <v>0</v>
      </c>
      <c r="AD68" s="124">
        <f t="shared" si="20"/>
        <v>0</v>
      </c>
      <c r="AE68" s="72"/>
      <c r="AF68" s="73"/>
      <c r="AG68" s="73"/>
      <c r="AH68" s="73"/>
      <c r="AI68" s="74"/>
      <c r="AJ68" s="74"/>
      <c r="AK68" s="75"/>
      <c r="AL68" s="73"/>
      <c r="AM68" s="72"/>
      <c r="AN68" s="73"/>
      <c r="AO68" s="73"/>
      <c r="AP68" s="73"/>
      <c r="AQ68" s="74"/>
      <c r="AR68" s="74"/>
      <c r="AS68" s="75"/>
      <c r="AT68" s="73"/>
      <c r="AU68" s="73"/>
      <c r="AV68" s="73"/>
      <c r="AW68" s="73"/>
      <c r="AX68" s="181"/>
      <c r="AY68" s="182"/>
      <c r="AZ68" s="182"/>
      <c r="BA68" s="182"/>
      <c r="BB68" s="183"/>
      <c r="BC68" s="183"/>
      <c r="BD68" s="184"/>
      <c r="BE68" s="72"/>
      <c r="BF68" s="73"/>
      <c r="BG68" s="73"/>
      <c r="BH68" s="73"/>
      <c r="BI68" s="74"/>
      <c r="BJ68" s="74"/>
      <c r="BK68" s="75"/>
      <c r="BL68" s="72"/>
      <c r="BM68" s="73"/>
      <c r="BN68" s="73"/>
      <c r="BO68" s="73"/>
      <c r="BP68" s="74"/>
      <c r="BQ68" s="74"/>
      <c r="BR68" s="75"/>
      <c r="BS68" s="73"/>
      <c r="BT68" s="72"/>
      <c r="BU68" s="73"/>
      <c r="BV68" s="73"/>
      <c r="BW68" s="73"/>
      <c r="BX68" s="74"/>
      <c r="BY68" s="74"/>
      <c r="BZ68" s="75"/>
      <c r="CA68" s="72"/>
      <c r="CB68" s="73"/>
      <c r="CC68" s="73"/>
      <c r="CD68" s="73"/>
      <c r="CE68" s="74"/>
      <c r="CF68" s="74"/>
      <c r="CG68" s="75"/>
    </row>
    <row r="69" spans="2:85" ht="14.5" x14ac:dyDescent="0.35">
      <c r="B69" s="35">
        <v>1</v>
      </c>
      <c r="C69" s="36">
        <v>10</v>
      </c>
      <c r="D69" s="37">
        <f>(X69*($T$11^$Q69))*Watts*CF_Altit</f>
        <v>0</v>
      </c>
      <c r="E69" s="36">
        <f>ROUND(((D69/Watts)/(($S$9-$S$10)*1.163))*$E$14,IF($X$4=1,0,IF($X$4=2,2)))</f>
        <v>0</v>
      </c>
      <c r="F69" s="39" t="e">
        <f>($Y$66*(E69/$E$14)^$Y$68)*$F$14</f>
        <v>#NUM!</v>
      </c>
      <c r="G69" s="37">
        <f>(Z69*($W$11^R69))*Watts*CF_Altit</f>
        <v>0</v>
      </c>
      <c r="H69" s="38">
        <f>((G69/Watts)/(IF((237.3*LN((RH*EXP(17.27*(Tl_cool/(Tl_cool+237.3))))))/(17.27-LN((RH*EXP(17.27*(Tl_cool/(Tl_cool+237.3))))))&lt;Tavg_cold,1,IF(1/(1+((2258*((0.622/(($Z$11/(1*611*EXP(17.27*(Tavg_cold/(Tavg_cold+237.3))))))-1)*1000-(0.622/(($Z$11/(RH*611*EXP(17.27*(Tl_cool/(Tl_cool+237.3))))))-1)*1000))/(1005*(Tavg_cold-Tl_cool))))*1.039+((-0.000729*$C69+0.001448)*(Tl_cool-Tavg_cold)+(0.016908*$C69-0.033574))*1.039&gt;1,1,1/(1+((2258*((0.622/(($Z$11/(1*611*EXP(17.27*(Tavg_cold/(Tavg_cold+237.3))))))-1)*1000-(0.622/(($Z$11/(RH*611*EXP(17.27*(Tl_cool/(Tl_cool+237.3))))))-1)*1000))/(1005*(Tavg_cold-Tl_cool))))*1.039+((-0.000729*$C69+0.001448)*(Tl_cool-Tavg_cold)+(0.016908*$C69-0.033574))*1.039))))*Watts</f>
        <v>0</v>
      </c>
      <c r="I69" s="36">
        <f>ROUND(((H69/Watts)/((Tr_cool-Tv_cool)*1.163))*$I$14,IF($X$4=1,0,IF($X$4=2,2)))</f>
        <v>0</v>
      </c>
      <c r="J69" s="40" t="e">
        <f>($AA$66*(I69/$I$14)^$AA$68)*$J$14</f>
        <v>#NUM!</v>
      </c>
      <c r="K69" s="60">
        <f>L69-8</f>
        <v>-8</v>
      </c>
      <c r="L69" s="54">
        <f t="shared" si="23"/>
        <v>0</v>
      </c>
      <c r="M69" s="46">
        <f t="shared" si="23"/>
        <v>0</v>
      </c>
      <c r="N69" s="65">
        <f>AD69*Cubics</f>
        <v>0</v>
      </c>
      <c r="O69" s="248" t="e">
        <f>((($D69/Watts)/(((p_atm*0.028964)/(8.31447*(20+273.15)))*(($N69/3600)/Cubics)*(1005+1870*((0.622)/(((p_atm)/($E$12*Pvs_Heat_in))-1)))))+Tl_heat)*Celc1+Celc2</f>
        <v>#DIV/0!</v>
      </c>
      <c r="P69" s="249" t="e">
        <f>(Tl_cool-(($G69/Watts)/(1006*$N69*kgss)))*Celc1+Celc2</f>
        <v>#DIV/0!</v>
      </c>
      <c r="Q69" s="215">
        <v>1</v>
      </c>
      <c r="R69" s="113">
        <f t="shared" si="8"/>
        <v>0</v>
      </c>
      <c r="S69" s="275"/>
      <c r="T69" s="276"/>
      <c r="U69" s="272"/>
      <c r="V69" s="276"/>
      <c r="W69" s="173" t="e">
        <f>(H69-G69)/H69</f>
        <v>#DIV/0!</v>
      </c>
      <c r="X69" s="123">
        <f t="shared" si="14"/>
        <v>0</v>
      </c>
      <c r="Y69" s="140">
        <f t="shared" si="15"/>
        <v>0</v>
      </c>
      <c r="Z69" s="129">
        <f t="shared" si="16"/>
        <v>0</v>
      </c>
      <c r="AA69" s="140">
        <f t="shared" si="17"/>
        <v>0</v>
      </c>
      <c r="AB69" s="129">
        <f t="shared" si="18"/>
        <v>0</v>
      </c>
      <c r="AC69" s="129">
        <f t="shared" si="19"/>
        <v>0</v>
      </c>
      <c r="AD69" s="129">
        <f t="shared" si="20"/>
        <v>0</v>
      </c>
      <c r="AE69" s="76"/>
      <c r="AF69" s="77"/>
      <c r="AG69" s="78"/>
      <c r="AH69" s="77"/>
      <c r="AI69" s="79"/>
      <c r="AJ69" s="79"/>
      <c r="AK69" s="80"/>
      <c r="AL69" s="78"/>
      <c r="AM69" s="76"/>
      <c r="AN69" s="77"/>
      <c r="AO69" s="78"/>
      <c r="AP69" s="77"/>
      <c r="AQ69" s="79"/>
      <c r="AR69" s="79"/>
      <c r="AS69" s="80"/>
      <c r="AT69" s="73"/>
      <c r="AU69" s="73"/>
      <c r="AV69" s="73"/>
      <c r="AW69" s="73"/>
      <c r="AX69" s="185"/>
      <c r="AY69" s="186"/>
      <c r="AZ69" s="187"/>
      <c r="BA69" s="186"/>
      <c r="BB69" s="188"/>
      <c r="BC69" s="188"/>
      <c r="BD69" s="189"/>
      <c r="BE69" s="76"/>
      <c r="BF69" s="77"/>
      <c r="BG69" s="78"/>
      <c r="BH69" s="77"/>
      <c r="BI69" s="79"/>
      <c r="BJ69" s="79"/>
      <c r="BK69" s="80"/>
      <c r="BL69" s="76"/>
      <c r="BM69" s="77"/>
      <c r="BN69" s="78"/>
      <c r="BO69" s="77"/>
      <c r="BP69" s="79"/>
      <c r="BQ69" s="79"/>
      <c r="BR69" s="80"/>
      <c r="BS69" s="73"/>
      <c r="BT69" s="76"/>
      <c r="BU69" s="77"/>
      <c r="BV69" s="78"/>
      <c r="BW69" s="77"/>
      <c r="BX69" s="79"/>
      <c r="BY69" s="79"/>
      <c r="BZ69" s="80"/>
      <c r="CA69" s="76"/>
      <c r="CB69" s="77"/>
      <c r="CC69" s="78"/>
      <c r="CD69" s="77"/>
      <c r="CE69" s="79"/>
      <c r="CF69" s="79"/>
      <c r="CG69" s="80"/>
    </row>
    <row r="70" spans="2:85" ht="9.4" customHeight="1" x14ac:dyDescent="0.35">
      <c r="B70" s="6" t="str">
        <f>IF($S$7=1,NL!A69,IF(cal!$S$7=2,EN!A69,IF(cal!$S$7=3,DE!A69,IF(cal!$S$7=4,FR!A69,IF(cal!$S$7=5,NR!A69,IF(cal!$S$7=6,SP!A69,IF(cal!$S$7=7,SW!A69,IF(cal!$S$7=8,TS!A69,IF(cal!$S$7=9,ExtraTaal1!A69,IF(cal!$S$7=10,ExtraTaal2!A69,IF(cal!$S$7=11,ExtraTaal3!A69,)))))))))))</f>
        <v>*Values according to EN 16430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47"/>
      <c r="N70" s="45" t="str">
        <f>Freedom!P71</f>
        <v>v2022-08-26</v>
      </c>
      <c r="O70" s="45"/>
      <c r="P70" s="45"/>
      <c r="Q70" s="1"/>
      <c r="X70" s="132">
        <f t="shared" si="14"/>
        <v>0</v>
      </c>
      <c r="Y70" s="147">
        <f t="shared" si="15"/>
        <v>0</v>
      </c>
      <c r="Z70" s="132">
        <f t="shared" si="16"/>
        <v>0</v>
      </c>
      <c r="AA70" s="147">
        <f t="shared" si="17"/>
        <v>0</v>
      </c>
      <c r="AB70" s="132">
        <f t="shared" si="18"/>
        <v>0</v>
      </c>
      <c r="AC70" s="137">
        <f t="shared" si="19"/>
        <v>0</v>
      </c>
      <c r="AD70" s="135">
        <f t="shared" si="20"/>
        <v>0</v>
      </c>
      <c r="AE70" s="83"/>
      <c r="AF70" s="84"/>
      <c r="AG70" s="83"/>
      <c r="AH70" s="84"/>
      <c r="AI70" s="83"/>
      <c r="AJ70" s="84"/>
      <c r="AK70" s="82"/>
      <c r="AL70" s="82"/>
      <c r="AM70" s="83"/>
      <c r="AN70" s="84"/>
      <c r="AO70" s="83"/>
      <c r="AP70" s="84"/>
      <c r="AQ70" s="83"/>
      <c r="AR70" s="84"/>
      <c r="AS70" s="87"/>
      <c r="AT70" s="86"/>
      <c r="AU70" s="86"/>
      <c r="AV70" s="86"/>
      <c r="AW70" s="86"/>
      <c r="AX70" s="190"/>
      <c r="AY70" s="191"/>
      <c r="AZ70" s="190"/>
      <c r="BA70" s="191"/>
      <c r="BB70" s="190"/>
      <c r="BC70" s="191"/>
      <c r="BD70" s="192"/>
      <c r="BE70" s="83"/>
      <c r="BF70" s="84"/>
      <c r="BG70" s="83"/>
      <c r="BH70" s="84"/>
      <c r="BI70" s="83"/>
      <c r="BJ70" s="84"/>
      <c r="BK70" s="82"/>
      <c r="BL70" s="83"/>
      <c r="BM70" s="84"/>
      <c r="BN70" s="83"/>
      <c r="BO70" s="84"/>
      <c r="BP70" s="83"/>
      <c r="BQ70" s="84"/>
      <c r="BR70" s="87"/>
      <c r="BS70" s="86"/>
      <c r="BT70" s="83"/>
      <c r="BU70" s="84"/>
      <c r="BV70" s="83"/>
      <c r="BW70" s="84"/>
      <c r="BX70" s="83"/>
      <c r="BY70" s="84"/>
      <c r="BZ70" s="82"/>
      <c r="CA70" s="83"/>
      <c r="CB70" s="84"/>
      <c r="CC70" s="83"/>
      <c r="CD70" s="84"/>
      <c r="CE70" s="83"/>
      <c r="CF70" s="84"/>
      <c r="CG70" s="87"/>
    </row>
    <row r="71" spans="2:85" ht="9.4" customHeight="1" x14ac:dyDescent="0.35">
      <c r="B71" s="6" t="str">
        <f>IF($S$7=1,NL!A70,IF(cal!$S$7=2,EN!A70,IF(cal!$S$7=3,DE!A70,IF(cal!$S$7=4,FR!A70,IF(cal!$S$7=5,NR!A70,IF(cal!$S$7=6,SP!A70,IF(cal!$S$7=7,SW!A70,IF(cal!$S$7=8,TS!A70,IF(cal!$S$7=9,ExtraTaal1!A70,IF(cal!$S$7=10,ExtraTaal2!A70,IF(cal!$S$7=11,ExtraTaal3!A70,)))))))))))</f>
        <v>**Sound power according to ISO 3741:2010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2:85" ht="9" customHeight="1" x14ac:dyDescent="0.35">
      <c r="B72" s="6" t="str">
        <f>IF($S$7=1,NL!A71,IF(cal!$S$7=2,EN!A71,IF(cal!$S$7=3,DE!A71,IF(cal!$S$7=4,FR!A71,IF(cal!$S$7=5,NR!A71,IF(cal!$S$7=6,SP!A71,IF(cal!$S$7=7,SW!A71,IF(cal!$S$7=8,TS!A71,IF(cal!$S$7=9,ExtraTaal1!A71,IF(cal!$S$7=10,ExtraTaal2!A71,IF(cal!$S$7=11,ExtraTaal3!A71,)))))))))))</f>
        <v>***Sound pressure with an assumed room damping of 8dB(A)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2:85" ht="16.149999999999999" hidden="1" customHeight="1" x14ac:dyDescent="0.35"/>
    <row r="74" spans="2:85" ht="15" hidden="1" customHeight="1" x14ac:dyDescent="0.35"/>
    <row r="75" spans="2:85" ht="15" hidden="1" customHeight="1" x14ac:dyDescent="0.35"/>
    <row r="76" spans="2:85" ht="15" hidden="1" customHeight="1" x14ac:dyDescent="0.35"/>
    <row r="77" spans="2:85" ht="15" hidden="1" customHeight="1" x14ac:dyDescent="0.35"/>
    <row r="78" spans="2:85" ht="15" hidden="1" customHeight="1" x14ac:dyDescent="0.35"/>
    <row r="79" spans="2:85" ht="15" hidden="1" customHeight="1" x14ac:dyDescent="0.35"/>
    <row r="80" spans="2:85" ht="15" hidden="1" customHeight="1" x14ac:dyDescent="0.35"/>
  </sheetData>
  <sheetProtection selectLockedCells="1"/>
  <dataConsolidate/>
  <mergeCells count="28">
    <mergeCell ref="B34:P34"/>
    <mergeCell ref="B28:P28"/>
    <mergeCell ref="B22:P22"/>
    <mergeCell ref="B16:P16"/>
    <mergeCell ref="M9:N9"/>
    <mergeCell ref="B9:D9"/>
    <mergeCell ref="G9:J9"/>
    <mergeCell ref="B10:D10"/>
    <mergeCell ref="G10:J10"/>
    <mergeCell ref="B11:D11"/>
    <mergeCell ref="G11:J11"/>
    <mergeCell ref="M7:N7"/>
    <mergeCell ref="M8:N8"/>
    <mergeCell ref="BT16:BZ16"/>
    <mergeCell ref="CA16:CG16"/>
    <mergeCell ref="BE16:BK16"/>
    <mergeCell ref="BL16:BR16"/>
    <mergeCell ref="AM16:AS16"/>
    <mergeCell ref="AX16:BD16"/>
    <mergeCell ref="O7:P7"/>
    <mergeCell ref="O8:P8"/>
    <mergeCell ref="AE16:AK16"/>
    <mergeCell ref="X16:AD16"/>
    <mergeCell ref="B64:P64"/>
    <mergeCell ref="B58:P58"/>
    <mergeCell ref="B52:P52"/>
    <mergeCell ref="B46:P46"/>
    <mergeCell ref="B40:P40"/>
  </mergeCells>
  <dataValidations disablePrompts="1" count="3">
    <dataValidation type="whole" errorStyle="information" allowBlank="1" prompt="Eingabe zwischen 5°C bis 20°C" sqref="K9:K11" xr:uid="{00000000-0002-0000-0100-000000000000}">
      <formula1>5</formula1>
      <formula2>20</formula2>
    </dataValidation>
    <dataValidation type="decimal" errorStyle="information" allowBlank="1" prompt="20°C bis 35°C" sqref="K12 E12" xr:uid="{00000000-0002-0000-0100-000001000000}">
      <formula1>0.3</formula1>
      <formula2>0.8</formula2>
    </dataValidation>
    <dataValidation allowBlank="1" showInputMessage="1" sqref="E9:E11" xr:uid="{00000000-0002-0000-0100-000002000000}"/>
  </dataValidations>
  <pageMargins left="0.5" right="0.47222222222222221" top="1.0555555555555556" bottom="0.81944444444444442" header="0.43055555555555558" footer="0.40277777777777779"/>
  <pageSetup paperSize="9" orientation="portrait" r:id="rId1"/>
  <headerFooter>
    <oddHeader>&amp;L&amp;G&amp;C&amp;16&amp;K00-040CLIMA CANAL  AUSLEGUNG
Heizen &amp; Kühlen</oddHeader>
    <oddFooter>&amp;C&amp;8JAGA Deutschland GmbH • Neuer Zollhof 1 • 40221 Düsseldorf  • T +49 (0) 211 310 27 30 • info@jaga.de • www.jaga-deutschland.de_x000D_KBC Iban: DE58 3052 4400 0000 2837 88  • Bic: KREDDEDDXXX  • Amtsgericht Düsseldorf  • HRB32157 • UST Nr: DE174665903</oddFooter>
  </headerFooter>
  <ignoredErrors>
    <ignoredError sqref="S10:S11 X9:X11 E10:E11 K12" unlockedFormula="1"/>
    <ignoredError sqref="J17:J21 J23:J27 J29:J33 F65:F69 F29 F23:F27 F17:F18 F31:F33 F20:F21" evalError="1"/>
  </ignoredErrors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R78"/>
  <sheetViews>
    <sheetView topLeftCell="I1" workbookViewId="0">
      <selection activeCell="G6" sqref="G6:J6"/>
    </sheetView>
  </sheetViews>
  <sheetFormatPr defaultColWidth="11.453125" defaultRowHeight="14.5" zeroHeight="1" x14ac:dyDescent="0.35"/>
  <cols>
    <col min="1" max="1" width="7" style="1" customWidth="1"/>
    <col min="2" max="2" width="6.1796875" style="1" customWidth="1"/>
    <col min="3" max="3" width="7" style="1" customWidth="1"/>
    <col min="4" max="4" width="6.7265625" style="1" customWidth="1"/>
    <col min="5" max="15" width="7" style="1" customWidth="1"/>
    <col min="16" max="16384" width="11.453125" style="1"/>
  </cols>
  <sheetData>
    <row r="1" spans="1:18" x14ac:dyDescent="0.35">
      <c r="A1" s="21"/>
    </row>
    <row r="2" spans="1:18" x14ac:dyDescent="0.35">
      <c r="A2" s="23" t="s">
        <v>19</v>
      </c>
      <c r="B2" s="22"/>
    </row>
    <row r="3" spans="1:18" x14ac:dyDescent="0.35">
      <c r="A3" s="21"/>
    </row>
    <row r="4" spans="1:18" x14ac:dyDescent="0.35">
      <c r="A4" s="28" t="s">
        <v>18</v>
      </c>
    </row>
    <row r="5" spans="1:18" ht="6" customHeight="1" thickBot="1" x14ac:dyDescent="0.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" thickBot="1" x14ac:dyDescent="0.4">
      <c r="A6" s="12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365" t="s">
        <v>138</v>
      </c>
      <c r="M6" s="366"/>
    </row>
    <row r="7" spans="1:18" ht="15" thickBot="1" x14ac:dyDescent="0.4">
      <c r="A7" s="12" t="s">
        <v>12</v>
      </c>
      <c r="B7" s="7"/>
      <c r="C7" s="7"/>
      <c r="D7" s="7"/>
      <c r="E7" s="7"/>
      <c r="F7" s="8" t="s">
        <v>13</v>
      </c>
      <c r="G7" s="8"/>
      <c r="H7" s="8"/>
      <c r="I7" s="7"/>
      <c r="J7" s="7"/>
      <c r="K7" s="7"/>
      <c r="L7" s="367"/>
      <c r="M7" s="368"/>
      <c r="Q7" s="1" t="s">
        <v>162</v>
      </c>
    </row>
    <row r="8" spans="1:18" ht="15" thickBot="1" x14ac:dyDescent="0.4">
      <c r="A8" s="361" t="str">
        <f>"Aanvoertemp."</f>
        <v>Aanvoertemp.</v>
      </c>
      <c r="B8" s="362"/>
      <c r="C8" s="362"/>
      <c r="D8" s="62">
        <f>cal!E9</f>
        <v>75</v>
      </c>
      <c r="E8" s="48" t="str">
        <f>IF(cal!$X$4=1,"°C",IF(cal!$X$4=2,"°F"))</f>
        <v>°C</v>
      </c>
      <c r="F8" s="362" t="str">
        <f>A8</f>
        <v>Aanvoertemp.</v>
      </c>
      <c r="G8" s="362"/>
      <c r="H8" s="362"/>
      <c r="I8" s="362"/>
      <c r="J8" s="62">
        <f>cal!K9</f>
        <v>16</v>
      </c>
      <c r="K8" s="7" t="str">
        <f>E8</f>
        <v>°C</v>
      </c>
      <c r="L8" s="363" t="s">
        <v>107</v>
      </c>
      <c r="M8" s="364"/>
      <c r="Q8" s="1" t="s">
        <v>163</v>
      </c>
    </row>
    <row r="9" spans="1:18" ht="15" thickTop="1" x14ac:dyDescent="0.35">
      <c r="A9" s="361" t="str">
        <f>"Retourtemp."</f>
        <v>Retourtemp.</v>
      </c>
      <c r="B9" s="362"/>
      <c r="C9" s="362"/>
      <c r="D9" s="62">
        <f>cal!E10</f>
        <v>65</v>
      </c>
      <c r="E9" s="48" t="str">
        <f>E8</f>
        <v>°C</v>
      </c>
      <c r="F9" s="362" t="str">
        <f>A9</f>
        <v>Retourtemp.</v>
      </c>
      <c r="G9" s="362"/>
      <c r="H9" s="362"/>
      <c r="I9" s="362"/>
      <c r="J9" s="62">
        <f>cal!K10</f>
        <v>18</v>
      </c>
      <c r="K9" s="7" t="str">
        <f>E8</f>
        <v>°C</v>
      </c>
      <c r="L9" s="7"/>
      <c r="M9" s="13"/>
      <c r="Q9" s="1" t="s">
        <v>164</v>
      </c>
    </row>
    <row r="10" spans="1:18" x14ac:dyDescent="0.35">
      <c r="A10" s="361" t="str">
        <f>"Ruimtetemp."</f>
        <v>Ruimtetemp.</v>
      </c>
      <c r="B10" s="362"/>
      <c r="C10" s="362"/>
      <c r="D10" s="62">
        <f>cal!E11</f>
        <v>20</v>
      </c>
      <c r="E10" s="48" t="str">
        <f>E8</f>
        <v>°C</v>
      </c>
      <c r="F10" s="362" t="str">
        <f>A10</f>
        <v>Ruimtetemp.</v>
      </c>
      <c r="G10" s="362"/>
      <c r="H10" s="362"/>
      <c r="I10" s="362"/>
      <c r="J10" s="62">
        <f>cal!K11</f>
        <v>27</v>
      </c>
      <c r="K10" s="7" t="str">
        <f>E8</f>
        <v>°C</v>
      </c>
      <c r="L10" s="7"/>
      <c r="M10" s="13"/>
    </row>
    <row r="11" spans="1:18" x14ac:dyDescent="0.35">
      <c r="A11" s="14"/>
      <c r="B11" s="7"/>
      <c r="C11" s="7"/>
      <c r="D11" s="7"/>
      <c r="E11" s="7"/>
      <c r="F11" s="362" t="s">
        <v>146</v>
      </c>
      <c r="G11" s="362"/>
      <c r="H11" s="362"/>
      <c r="I11" s="7"/>
      <c r="J11" s="50">
        <f>cal!K12</f>
        <v>0.5</v>
      </c>
      <c r="K11" s="7"/>
      <c r="L11" s="7"/>
      <c r="M11" s="13"/>
    </row>
    <row r="12" spans="1:18" ht="6" customHeight="1" x14ac:dyDescent="0.3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3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35">
      <c r="A14" s="26" t="s">
        <v>17</v>
      </c>
      <c r="B14" s="19" t="s">
        <v>14</v>
      </c>
      <c r="C14" s="26" t="str">
        <f>CONCATENATE("Warmteafgifte * ",ROUND(D8,0),"/",ROUND(D9,0),"/",ROUND(D10,0)," ["&amp;IF(cal!$X$4=1,"W",IF(cal!$X$4=2,"Btu/h"))&amp;"]")</f>
        <v>Warmteafgifte * 75/65/20 [W]</v>
      </c>
      <c r="D14" s="29" t="str">
        <f>"Waterdebiet, verwarming ["&amp;IF(cal!$X$4=1,"l/h",IF(cal!$X$4=2,"GPM"))&amp;"]"</f>
        <v>Waterdebiet, verwarming [l/h]</v>
      </c>
      <c r="E14" s="32" t="str">
        <f>"Waterzijdig drukverlies ["&amp;IF(cal!$X$4=1,"kPa",IF(cal!$X$4=2,"inH2O"))&amp;"]"</f>
        <v>Waterzijdig drukverlies [kPa]</v>
      </c>
      <c r="F14" s="19" t="str">
        <f>CONCATENATE("Voelb. Koelcapaciteit * ",ROUND(J8,0),"/",,ROUND(J9,0),"/",,ROUND(J10,0)," ["&amp;IF(cal!$X$4=1,"W",IF(cal!$X$4=2,"Btu/h"))&amp;"]")</f>
        <v>Voelb. Koelcapaciteit * 16/18/27 [W]</v>
      </c>
      <c r="G14" s="19" t="str">
        <f>CONCATENATE("Tot. koelcapaciteit ",,ROUND(J8,0),"/",,ROUND(J9,0),"/",,ROUND(J10,0)," ["&amp;IF(cal!$X$4=1,"W",IF(cal!$X$4=2,"Btu/h"))&amp;"]")</f>
        <v>Tot. koelcapaciteit 16/18/27 [W]</v>
      </c>
      <c r="H14" s="19" t="str">
        <f>"Waterdebiet, koeling ["&amp;IF(cal!$X$4=1,"l/h",IF(cal!$X$4=2,"GPM"))&amp;"]"</f>
        <v>Waterdebiet, koeling [l/h]</v>
      </c>
      <c r="I14" s="20" t="str">
        <f>"Waterzijdig drukverlies ["&amp;IF(cal!$X$4=1,"kPa",IF(cal!$X$4=2,"inH2O"))&amp;"]"</f>
        <v>Waterzijdig drukverlies [kPa]</v>
      </c>
      <c r="J14" s="26" t="s">
        <v>15</v>
      </c>
      <c r="K14" s="31" t="s">
        <v>42</v>
      </c>
      <c r="L14" s="19" t="s">
        <v>16</v>
      </c>
      <c r="M14" s="25" t="str">
        <f>"Luchtdebiet ["&amp;IF(cal!$X$4=1,"m³/h",IF(cal!$X$4=2,"CFM"))&amp;"]"</f>
        <v>Luchtdebiet [m³/h]</v>
      </c>
      <c r="N14" s="195" t="str">
        <f>"Uitblaastemp. verwarming ["&amp;IF(cal!$X$4=1,"°C",IF(cal!$X$4=2,"°F"))&amp;"]"</f>
        <v>Uitblaastemp. verwarming [°C]</v>
      </c>
      <c r="O14" s="196" t="str">
        <f>"Uitblaastemp. koeling ["&amp;IF(cal!$X$4=1,"°C",IF(cal!$X$4=2,"°F"))&amp;"]"</f>
        <v>Uitblaastemp. koeling [°C]</v>
      </c>
    </row>
    <row r="15" spans="1:18" ht="18" customHeight="1" x14ac:dyDescent="0.35">
      <c r="A15" s="337" t="str">
        <f>cal!$Z$1&amp;"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Freedom hoogte 20 cm breedte 19 cm lengte 74 cm (Type 1)</v>
      </c>
      <c r="B15" s="338"/>
      <c r="C15" s="337"/>
      <c r="D15" s="339"/>
      <c r="E15" s="338"/>
      <c r="F15" s="338"/>
      <c r="G15" s="338"/>
      <c r="H15" s="338"/>
      <c r="I15" s="338"/>
      <c r="J15" s="337"/>
      <c r="K15" s="338"/>
      <c r="L15" s="338"/>
      <c r="M15" s="339"/>
      <c r="Q15" s="1" t="s">
        <v>95</v>
      </c>
      <c r="R15" s="92" t="s">
        <v>135</v>
      </c>
    </row>
    <row r="16" spans="1:18" x14ac:dyDescent="0.3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96</v>
      </c>
      <c r="R16" s="92" t="s">
        <v>136</v>
      </c>
    </row>
    <row r="17" spans="1:18" x14ac:dyDescent="0.3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97</v>
      </c>
      <c r="R17" s="92" t="s">
        <v>137</v>
      </c>
    </row>
    <row r="18" spans="1:18" x14ac:dyDescent="0.3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3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3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35">
      <c r="A21" s="337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Freedom hoogte 20 cm breedte 19 cm lengte 110 cm (Type 2)</v>
      </c>
      <c r="B21" s="338"/>
      <c r="C21" s="337"/>
      <c r="D21" s="339"/>
      <c r="E21" s="338"/>
      <c r="F21" s="338"/>
      <c r="G21" s="338"/>
      <c r="H21" s="338"/>
      <c r="I21" s="338"/>
      <c r="J21" s="337"/>
      <c r="K21" s="338"/>
      <c r="L21" s="338"/>
      <c r="M21" s="339"/>
    </row>
    <row r="22" spans="1:18" x14ac:dyDescent="0.3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3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3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3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3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x14ac:dyDescent="0.35">
      <c r="A27" s="337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Freedom hoogte 20 cm breedte 19 cm lengte 145 cm (Type 3)</v>
      </c>
      <c r="B27" s="338"/>
      <c r="C27" s="337"/>
      <c r="D27" s="339"/>
      <c r="E27" s="338"/>
      <c r="F27" s="338"/>
      <c r="G27" s="338"/>
      <c r="H27" s="338"/>
      <c r="I27" s="338"/>
      <c r="J27" s="337"/>
      <c r="K27" s="338"/>
      <c r="L27" s="338"/>
      <c r="M27" s="339"/>
    </row>
    <row r="28" spans="1:18" x14ac:dyDescent="0.3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3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3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3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3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x14ac:dyDescent="0.35">
      <c r="A33" s="337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Freedom hoogte 20 cm breedte 19 cm lengte 181 cm (Type 4)</v>
      </c>
      <c r="B33" s="338"/>
      <c r="C33" s="337"/>
      <c r="D33" s="339"/>
      <c r="E33" s="338"/>
      <c r="F33" s="338"/>
      <c r="G33" s="338"/>
      <c r="H33" s="338"/>
      <c r="I33" s="338"/>
      <c r="J33" s="337"/>
      <c r="K33" s="338"/>
      <c r="L33" s="338"/>
      <c r="M33" s="339"/>
    </row>
    <row r="34" spans="1:13" x14ac:dyDescent="0.3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3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3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3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x14ac:dyDescent="0.3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8" customHeight="1" x14ac:dyDescent="0.35">
      <c r="A39" s="337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Freedom hoogte 0 cm breedte 0 cm lengte 0 cm (Type 5)</v>
      </c>
      <c r="B39" s="338"/>
      <c r="C39" s="337"/>
      <c r="D39" s="339"/>
      <c r="E39" s="338"/>
      <c r="F39" s="338"/>
      <c r="G39" s="338"/>
      <c r="H39" s="338"/>
      <c r="I39" s="338"/>
      <c r="J39" s="337"/>
      <c r="K39" s="338"/>
      <c r="L39" s="338"/>
      <c r="M39" s="339"/>
    </row>
    <row r="40" spans="1:13" x14ac:dyDescent="0.3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x14ac:dyDescent="0.3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x14ac:dyDescent="0.3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x14ac:dyDescent="0.3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x14ac:dyDescent="0.3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x14ac:dyDescent="0.35">
      <c r="A45" s="337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Freedom hoogte 0 cm breedte 0 cm lengte 0 cm (Type 6)</v>
      </c>
      <c r="B45" s="338"/>
      <c r="C45" s="337"/>
      <c r="D45" s="339"/>
      <c r="E45" s="338"/>
      <c r="F45" s="338"/>
      <c r="G45" s="338"/>
      <c r="H45" s="338"/>
      <c r="I45" s="338"/>
      <c r="J45" s="337"/>
      <c r="K45" s="338"/>
      <c r="L45" s="338"/>
      <c r="M45" s="339"/>
    </row>
    <row r="46" spans="1:13" x14ac:dyDescent="0.3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x14ac:dyDescent="0.3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x14ac:dyDescent="0.3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x14ac:dyDescent="0.3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x14ac:dyDescent="0.3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8" customHeight="1" x14ac:dyDescent="0.35">
      <c r="A51" s="337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Freedom hoogte 0 cm breedte 0 cm lengte 0 cm (Type 7)</v>
      </c>
      <c r="B51" s="338"/>
      <c r="C51" s="337"/>
      <c r="D51" s="339"/>
      <c r="E51" s="338"/>
      <c r="F51" s="338"/>
      <c r="G51" s="338"/>
      <c r="H51" s="338"/>
      <c r="I51" s="338"/>
      <c r="J51" s="337"/>
      <c r="K51" s="338"/>
      <c r="L51" s="338"/>
      <c r="M51" s="339"/>
    </row>
    <row r="52" spans="1:13" x14ac:dyDescent="0.3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x14ac:dyDescent="0.3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x14ac:dyDescent="0.3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x14ac:dyDescent="0.3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x14ac:dyDescent="0.3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x14ac:dyDescent="0.35">
      <c r="A57" s="337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Freedom hoogte 0 cm breedte 0 cm lengte 0 cm (Type 8)</v>
      </c>
      <c r="B57" s="338"/>
      <c r="C57" s="337"/>
      <c r="D57" s="339"/>
      <c r="E57" s="338"/>
      <c r="F57" s="338"/>
      <c r="G57" s="338"/>
      <c r="H57" s="338"/>
      <c r="I57" s="338"/>
      <c r="J57" s="337"/>
      <c r="K57" s="338"/>
      <c r="L57" s="338"/>
      <c r="M57" s="339"/>
    </row>
    <row r="58" spans="1:13" x14ac:dyDescent="0.3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x14ac:dyDescent="0.3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x14ac:dyDescent="0.3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x14ac:dyDescent="0.3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x14ac:dyDescent="0.3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6.899999999999999" customHeight="1" x14ac:dyDescent="0.35">
      <c r="A63" s="337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Freedom hoogte 0 cm breedte 0 cm lengte 0 cm (Type 9)</v>
      </c>
      <c r="B63" s="338"/>
      <c r="C63" s="337"/>
      <c r="D63" s="339"/>
      <c r="E63" s="338"/>
      <c r="F63" s="338"/>
      <c r="G63" s="338"/>
      <c r="H63" s="338"/>
      <c r="I63" s="338"/>
      <c r="J63" s="337"/>
      <c r="K63" s="338"/>
      <c r="L63" s="338"/>
      <c r="M63" s="339"/>
    </row>
    <row r="64" spans="1:13" x14ac:dyDescent="0.3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x14ac:dyDescent="0.3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x14ac:dyDescent="0.3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x14ac:dyDescent="0.3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x14ac:dyDescent="0.3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4" customHeight="1" x14ac:dyDescent="0.35">
      <c r="A69" s="6" t="s">
        <v>57</v>
      </c>
      <c r="L69" s="47"/>
      <c r="M69" s="45" t="str">
        <f>cal!N70</f>
        <v>v2022-08-26</v>
      </c>
    </row>
    <row r="70" spans="1:13" ht="9.4" customHeight="1" x14ac:dyDescent="0.35">
      <c r="A70" s="6" t="s">
        <v>20</v>
      </c>
    </row>
    <row r="71" spans="1:13" ht="9.4" customHeight="1" x14ac:dyDescent="0.35">
      <c r="A71" s="6" t="s">
        <v>21</v>
      </c>
    </row>
    <row r="72" spans="1:13" ht="16.149999999999999" hidden="1" customHeight="1" x14ac:dyDescent="0.35"/>
    <row r="73" spans="1:13" x14ac:dyDescent="0.35"/>
    <row r="74" spans="1:13" x14ac:dyDescent="0.35"/>
    <row r="75" spans="1:13" x14ac:dyDescent="0.35"/>
    <row r="76" spans="1:13" x14ac:dyDescent="0.35"/>
    <row r="77" spans="1:13" x14ac:dyDescent="0.35"/>
    <row r="78" spans="1:13" x14ac:dyDescent="0.35"/>
  </sheetData>
  <sheetProtection selectLockedCells="1"/>
  <mergeCells count="19">
    <mergeCell ref="L6:M6"/>
    <mergeCell ref="L7:M7"/>
    <mergeCell ref="F11:H11"/>
    <mergeCell ref="A15:M15"/>
    <mergeCell ref="A21:M21"/>
    <mergeCell ref="A51:M51"/>
    <mergeCell ref="A63:M63"/>
    <mergeCell ref="A8:C8"/>
    <mergeCell ref="F8:I8"/>
    <mergeCell ref="A9:C9"/>
    <mergeCell ref="F9:I9"/>
    <mergeCell ref="A10:C10"/>
    <mergeCell ref="F10:I10"/>
    <mergeCell ref="A27:M27"/>
    <mergeCell ref="A33:M33"/>
    <mergeCell ref="A39:M39"/>
    <mergeCell ref="A45:M45"/>
    <mergeCell ref="A57:M57"/>
    <mergeCell ref="L8:M8"/>
  </mergeCells>
  <dataValidations count="7">
    <dataValidation type="decimal" errorStyle="information" allowBlank="1" showErrorMessage="1" error="Eingabe außerhalb des gültigen Bereichs." prompt="20°C bis 35°C" sqref="J11" xr:uid="{00000000-0002-0000-02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J8" xr:uid="{00000000-0002-0000-02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J9" xr:uid="{00000000-0002-0000-0200-000002000000}">
      <formula1>J8</formula1>
      <formula2>J10</formula2>
    </dataValidation>
    <dataValidation type="whole" errorStyle="information" allowBlank="1" showErrorMessage="1" error="Temperatur außerhalb des gütligen Bereichs." prompt="Eingabe zwischen 30°C bis 95°C" sqref="D8" xr:uid="{00000000-0002-0000-02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D9" xr:uid="{00000000-0002-0000-0200-000004000000}">
      <formula1>D10</formula1>
      <formula2>D8</formula2>
    </dataValidation>
    <dataValidation type="whole" errorStyle="information" allowBlank="1" showErrorMessage="1" error="Eingabe außerhalb des gültigen Bereichs." prompt="Eingabe zwischen 16°C bis 30°C" sqref="D10" xr:uid="{00000000-0002-0000-0200-000005000000}">
      <formula1>16</formula1>
      <formula2>30</formula2>
    </dataValidation>
    <dataValidation type="whole" errorStyle="information" allowBlank="1" showErrorMessage="1" error="Eingabe außerhalb des gültigen Bereichs." prompt="20°C bis 35°C" sqref="J10" xr:uid="{00000000-0002-0000-0200-000006000000}">
      <formula1>20</formula1>
      <formula2>35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R71"/>
  <sheetViews>
    <sheetView topLeftCell="I1" workbookViewId="0">
      <selection activeCell="G6" sqref="G6:J6"/>
    </sheetView>
  </sheetViews>
  <sheetFormatPr defaultColWidth="11.453125" defaultRowHeight="14.5" x14ac:dyDescent="0.35"/>
  <cols>
    <col min="1" max="1" width="7" style="1" customWidth="1"/>
    <col min="2" max="2" width="6.1796875" style="1" customWidth="1"/>
    <col min="3" max="3" width="7" style="1" customWidth="1"/>
    <col min="4" max="4" width="6.7265625" style="1" customWidth="1"/>
    <col min="5" max="15" width="7" style="1" customWidth="1"/>
    <col min="16" max="16384" width="11.453125" style="1"/>
  </cols>
  <sheetData>
    <row r="1" spans="1:18" x14ac:dyDescent="0.35">
      <c r="A1" s="21"/>
    </row>
    <row r="2" spans="1:18" x14ac:dyDescent="0.35">
      <c r="A2" s="23" t="s">
        <v>33</v>
      </c>
      <c r="B2" s="22"/>
    </row>
    <row r="3" spans="1:18" x14ac:dyDescent="0.35">
      <c r="A3" s="21"/>
    </row>
    <row r="4" spans="1:18" x14ac:dyDescent="0.35">
      <c r="A4" s="28" t="s">
        <v>31</v>
      </c>
    </row>
    <row r="5" spans="1:18" ht="6" customHeight="1" thickBot="1" x14ac:dyDescent="0.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" thickBot="1" x14ac:dyDescent="0.4">
      <c r="A6" s="12" t="s">
        <v>22</v>
      </c>
      <c r="B6" s="7"/>
      <c r="C6" s="7"/>
      <c r="D6" s="7"/>
      <c r="E6" s="7"/>
      <c r="F6" s="7"/>
      <c r="G6" s="7"/>
      <c r="H6" s="7"/>
      <c r="I6" s="7"/>
      <c r="J6" s="7"/>
      <c r="K6" s="7"/>
      <c r="L6" s="365" t="s">
        <v>139</v>
      </c>
      <c r="M6" s="366"/>
    </row>
    <row r="7" spans="1:18" ht="15" thickBot="1" x14ac:dyDescent="0.4">
      <c r="A7" s="12" t="s">
        <v>23</v>
      </c>
      <c r="B7" s="7"/>
      <c r="C7" s="7"/>
      <c r="D7" s="7"/>
      <c r="E7" s="7"/>
      <c r="F7" s="8" t="s">
        <v>24</v>
      </c>
      <c r="G7" s="8"/>
      <c r="H7" s="8"/>
      <c r="I7" s="7"/>
      <c r="J7" s="7"/>
      <c r="K7" s="7"/>
      <c r="L7" s="367"/>
      <c r="M7" s="368"/>
      <c r="Q7" s="1" t="s">
        <v>165</v>
      </c>
    </row>
    <row r="8" spans="1:18" ht="15" thickBot="1" x14ac:dyDescent="0.4">
      <c r="A8" s="361" t="str">
        <f>"Inlet temp."</f>
        <v>Inlet temp.</v>
      </c>
      <c r="B8" s="362"/>
      <c r="C8" s="362"/>
      <c r="D8" s="62">
        <f>cal!E9</f>
        <v>75</v>
      </c>
      <c r="E8" s="48" t="str">
        <f>IF(cal!$X$4=1,"°C",IF(cal!$X$4=2,"°F"))</f>
        <v>°C</v>
      </c>
      <c r="F8" s="362" t="str">
        <f>A8</f>
        <v>Inlet temp.</v>
      </c>
      <c r="G8" s="362"/>
      <c r="H8" s="362"/>
      <c r="I8" s="362"/>
      <c r="J8" s="62">
        <f>cal!K9</f>
        <v>16</v>
      </c>
      <c r="K8" s="7" t="str">
        <f>E8</f>
        <v>°C</v>
      </c>
      <c r="L8" s="363" t="s">
        <v>108</v>
      </c>
      <c r="M8" s="364"/>
      <c r="Q8" s="1" t="s">
        <v>166</v>
      </c>
    </row>
    <row r="9" spans="1:18" ht="15" thickTop="1" x14ac:dyDescent="0.35">
      <c r="A9" s="361" t="str">
        <f>"Return temp."</f>
        <v>Return temp.</v>
      </c>
      <c r="B9" s="362"/>
      <c r="C9" s="362"/>
      <c r="D9" s="62">
        <f>cal!E10</f>
        <v>65</v>
      </c>
      <c r="E9" s="48" t="str">
        <f>E8</f>
        <v>°C</v>
      </c>
      <c r="F9" s="362" t="str">
        <f>A9</f>
        <v>Return temp.</v>
      </c>
      <c r="G9" s="362"/>
      <c r="H9" s="362"/>
      <c r="I9" s="362"/>
      <c r="J9" s="62">
        <f>cal!K10</f>
        <v>18</v>
      </c>
      <c r="K9" s="7" t="str">
        <f>E8</f>
        <v>°C</v>
      </c>
      <c r="L9" s="7"/>
      <c r="M9" s="13"/>
      <c r="Q9" s="1" t="s">
        <v>167</v>
      </c>
    </row>
    <row r="10" spans="1:18" x14ac:dyDescent="0.35">
      <c r="A10" s="361" t="str">
        <f>"Room temp."</f>
        <v>Room temp.</v>
      </c>
      <c r="B10" s="362"/>
      <c r="C10" s="362"/>
      <c r="D10" s="62">
        <f>cal!E11</f>
        <v>20</v>
      </c>
      <c r="E10" s="48" t="str">
        <f>E8</f>
        <v>°C</v>
      </c>
      <c r="F10" s="362" t="str">
        <f>A10</f>
        <v>Room temp.</v>
      </c>
      <c r="G10" s="362"/>
      <c r="H10" s="362"/>
      <c r="I10" s="362"/>
      <c r="J10" s="62">
        <f>cal!K11</f>
        <v>27</v>
      </c>
      <c r="K10" s="7" t="str">
        <f>E8</f>
        <v>°C</v>
      </c>
      <c r="L10" s="7"/>
      <c r="M10" s="13"/>
    </row>
    <row r="11" spans="1:18" x14ac:dyDescent="0.35">
      <c r="A11" s="14"/>
      <c r="B11" s="7"/>
      <c r="C11" s="7"/>
      <c r="D11" s="7"/>
      <c r="E11" s="7"/>
      <c r="F11" s="362" t="s">
        <v>147</v>
      </c>
      <c r="G11" s="362"/>
      <c r="H11" s="362"/>
      <c r="I11" s="7"/>
      <c r="J11" s="50">
        <f>cal!K12</f>
        <v>0.5</v>
      </c>
      <c r="K11" s="7"/>
      <c r="L11" s="7"/>
      <c r="M11" s="13"/>
    </row>
    <row r="12" spans="1:18" ht="6" customHeight="1" x14ac:dyDescent="0.3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3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35">
      <c r="A14" s="26" t="s">
        <v>25</v>
      </c>
      <c r="B14" s="19" t="s">
        <v>26</v>
      </c>
      <c r="C14" s="26" t="str">
        <f>CONCATENATE("Heat output * ",ROUND(D8,0),"/",ROUND(D9,0),"/",ROUND(D10,0)," ["&amp;IF(cal!$X$4=1,"W",IF(cal!$X$4=2,"Btu/h"))&amp;"]")</f>
        <v>Heat output * 75/65/20 [W]</v>
      </c>
      <c r="D14" s="29" t="str">
        <f>"Water flowrate, heating ["&amp;IF(cal!$X$4=1,"l/h",IF(cal!$X$4=2,"GPM"))&amp;"]"</f>
        <v>Water flowrate, heating [l/h]</v>
      </c>
      <c r="E14" s="32" t="str">
        <f>"Watersided pressure loss ["&amp;IF(cal!$X$4=1,"kPa",IF(cal!$X$4=2,"inH2O"))&amp;"]"</f>
        <v>Watersided pressure loss [kPa]</v>
      </c>
      <c r="F14" s="19" t="str">
        <f>CONCATENATE("Sens. cooling capacity * ",ROUND(J8,0),"/",ROUND(J9,0),"/",ROUND(J10,0)," ["&amp;IF(cal!$X$4=1,"W",IF(cal!$X$4=2,"Btu/h"))&amp;"]")</f>
        <v>Sens. cooling capacity * 16/18/27 [W]</v>
      </c>
      <c r="G14" s="19" t="str">
        <f>CONCATENATE("Tot. cooling capacity ",ROUND(J8,0),"/",ROUND(J9,0),"/",ROUND(J10,0)," ["&amp;IF(cal!$X$4=1,"W",IF(cal!$X$4=2,"Btu/h"))&amp;"]")</f>
        <v>Tot. cooling capacity 16/18/27 [W]</v>
      </c>
      <c r="H14" s="19" t="str">
        <f>"Water flowrate, cooling ["&amp;IF(cal!$X$4=1,"l/h",IF(cal!$X$4=2,"GPM"))&amp;"]"</f>
        <v>Water flowrate, cooling [l/h]</v>
      </c>
      <c r="I14" s="20" t="str">
        <f>"Watersided pressure loss ["&amp;IF(cal!$X$4=1,"kPa",IF(cal!$X$4=2,"inH2O"))&amp;"]"</f>
        <v>Watersided pressure loss [kPa]</v>
      </c>
      <c r="J14" s="26" t="s">
        <v>27</v>
      </c>
      <c r="K14" s="31" t="s">
        <v>43</v>
      </c>
      <c r="L14" s="19" t="s">
        <v>28</v>
      </c>
      <c r="M14" s="25" t="str">
        <f>"Air flowrate ["&amp;IF(cal!$X$4=1,"m³/h",IF(cal!$X$4=2,"CFM"))&amp;"]"</f>
        <v>Air flowrate [m³/h]</v>
      </c>
      <c r="N14" s="195" t="str">
        <f>"Air exhaust temp. heating ["&amp;IF(cal!$X$4=1,"°C",IF(cal!$X$4=2,"°F"))&amp;"]"</f>
        <v>Air exhaust temp. heating [°C]</v>
      </c>
      <c r="O14" s="196" t="str">
        <f>"Air exhaust temp. cooling ["&amp;IF(cal!$X$4=1,"°C",IF(cal!$X$4=2,"°F"))&amp;"]"</f>
        <v>Air exhaust temp. cooling [°C]</v>
      </c>
    </row>
    <row r="15" spans="1:18" ht="18" customHeight="1" x14ac:dyDescent="0.35">
      <c r="A15" s="337" t="str">
        <f>cal!$Z$1&amp;"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Freedom height 20 cm width 19 cm length 74 cm (Type 1)</v>
      </c>
      <c r="B15" s="338"/>
      <c r="C15" s="337"/>
      <c r="D15" s="339"/>
      <c r="E15" s="338"/>
      <c r="F15" s="338"/>
      <c r="G15" s="338"/>
      <c r="H15" s="338"/>
      <c r="I15" s="338"/>
      <c r="J15" s="337"/>
      <c r="K15" s="338"/>
      <c r="L15" s="338"/>
      <c r="M15" s="339"/>
      <c r="Q15" s="1" t="s">
        <v>95</v>
      </c>
      <c r="R15" s="92" t="s">
        <v>132</v>
      </c>
    </row>
    <row r="16" spans="1:18" x14ac:dyDescent="0.3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98</v>
      </c>
      <c r="R16" s="92" t="s">
        <v>133</v>
      </c>
    </row>
    <row r="17" spans="1:18" x14ac:dyDescent="0.3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99</v>
      </c>
      <c r="R17" s="92" t="s">
        <v>134</v>
      </c>
    </row>
    <row r="18" spans="1:18" x14ac:dyDescent="0.3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3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3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35">
      <c r="A21" s="337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Freedom height 20 cm width 19 cm length 110 cm (Type 2)</v>
      </c>
      <c r="B21" s="338"/>
      <c r="C21" s="337"/>
      <c r="D21" s="339"/>
      <c r="E21" s="338"/>
      <c r="F21" s="338"/>
      <c r="G21" s="338"/>
      <c r="H21" s="338"/>
      <c r="I21" s="338"/>
      <c r="J21" s="337"/>
      <c r="K21" s="338"/>
      <c r="L21" s="338"/>
      <c r="M21" s="339"/>
    </row>
    <row r="22" spans="1:18" x14ac:dyDescent="0.3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3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3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3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3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35">
      <c r="A27" s="337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Freedom height 20 cm width 19 cm length 145 cm (Type 3)</v>
      </c>
      <c r="B27" s="338"/>
      <c r="C27" s="337"/>
      <c r="D27" s="339"/>
      <c r="E27" s="338"/>
      <c r="F27" s="338"/>
      <c r="G27" s="338"/>
      <c r="H27" s="338"/>
      <c r="I27" s="338"/>
      <c r="J27" s="337"/>
      <c r="K27" s="338"/>
      <c r="L27" s="338"/>
      <c r="M27" s="339"/>
    </row>
    <row r="28" spans="1:18" x14ac:dyDescent="0.3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3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3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3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3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35">
      <c r="A33" s="337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Freedom height 20 cm width 19 cm length 181 cm (Type 4)</v>
      </c>
      <c r="B33" s="338"/>
      <c r="C33" s="337"/>
      <c r="D33" s="339"/>
      <c r="E33" s="338"/>
      <c r="F33" s="338"/>
      <c r="G33" s="338"/>
      <c r="H33" s="338"/>
      <c r="I33" s="338"/>
      <c r="J33" s="337"/>
      <c r="K33" s="338"/>
      <c r="L33" s="338"/>
      <c r="M33" s="339"/>
    </row>
    <row r="34" spans="1:13" x14ac:dyDescent="0.3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3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3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3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ht="15" customHeight="1" x14ac:dyDescent="0.3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35">
      <c r="A39" s="337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Freedom height 0 cm width 0 cm length 0 cm (Type 5)</v>
      </c>
      <c r="B39" s="338"/>
      <c r="C39" s="337"/>
      <c r="D39" s="339"/>
      <c r="E39" s="338"/>
      <c r="F39" s="338"/>
      <c r="G39" s="338"/>
      <c r="H39" s="338"/>
      <c r="I39" s="338"/>
      <c r="J39" s="337"/>
      <c r="K39" s="338"/>
      <c r="L39" s="338"/>
      <c r="M39" s="339"/>
    </row>
    <row r="40" spans="1:13" ht="15" customHeight="1" x14ac:dyDescent="0.3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3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3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3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3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ht="15" customHeight="1" x14ac:dyDescent="0.35">
      <c r="A45" s="337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Freedom height 0 cm width 0 cm length 0 cm (Type 6)</v>
      </c>
      <c r="B45" s="338"/>
      <c r="C45" s="337"/>
      <c r="D45" s="339"/>
      <c r="E45" s="338"/>
      <c r="F45" s="338"/>
      <c r="G45" s="338"/>
      <c r="H45" s="338"/>
      <c r="I45" s="338"/>
      <c r="J45" s="337"/>
      <c r="K45" s="338"/>
      <c r="L45" s="338"/>
      <c r="M45" s="339"/>
    </row>
    <row r="46" spans="1:13" ht="15" customHeight="1" x14ac:dyDescent="0.3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3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3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3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3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35">
      <c r="A51" s="337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Freedom height 0 cm width 0 cm length 0 cm (Type 7)</v>
      </c>
      <c r="B51" s="338"/>
      <c r="C51" s="337"/>
      <c r="D51" s="339"/>
      <c r="E51" s="338"/>
      <c r="F51" s="338"/>
      <c r="G51" s="338"/>
      <c r="H51" s="338"/>
      <c r="I51" s="338"/>
      <c r="J51" s="337"/>
      <c r="K51" s="338"/>
      <c r="L51" s="338"/>
      <c r="M51" s="339"/>
    </row>
    <row r="52" spans="1:13" ht="15" customHeight="1" x14ac:dyDescent="0.3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3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3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3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3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35">
      <c r="A57" s="337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Freedom height 0 cm width 0 cm length 0 cm (Type 8)</v>
      </c>
      <c r="B57" s="338"/>
      <c r="C57" s="337"/>
      <c r="D57" s="339"/>
      <c r="E57" s="338"/>
      <c r="F57" s="338"/>
      <c r="G57" s="338"/>
      <c r="H57" s="338"/>
      <c r="I57" s="338"/>
      <c r="J57" s="337"/>
      <c r="K57" s="338"/>
      <c r="L57" s="338"/>
      <c r="M57" s="339"/>
    </row>
    <row r="58" spans="1:13" ht="15" customHeight="1" x14ac:dyDescent="0.3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3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3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3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3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35">
      <c r="A63" s="337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Freedom height 0 cm width 0 cm length 0 cm (Type 9)</v>
      </c>
      <c r="B63" s="338"/>
      <c r="C63" s="337"/>
      <c r="D63" s="339"/>
      <c r="E63" s="338"/>
      <c r="F63" s="338"/>
      <c r="G63" s="338"/>
      <c r="H63" s="338"/>
      <c r="I63" s="338"/>
      <c r="J63" s="337"/>
      <c r="K63" s="338"/>
      <c r="L63" s="338"/>
      <c r="M63" s="339"/>
    </row>
    <row r="64" spans="1:13" ht="15" customHeight="1" x14ac:dyDescent="0.3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3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3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3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3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5" customHeight="1" x14ac:dyDescent="0.35">
      <c r="A69" s="6" t="s">
        <v>58</v>
      </c>
      <c r="L69" s="47"/>
      <c r="M69" s="45" t="str">
        <f>cal!N70</f>
        <v>v2022-08-26</v>
      </c>
    </row>
    <row r="70" spans="1:13" ht="9.65" customHeight="1" x14ac:dyDescent="0.35">
      <c r="A70" s="6" t="s">
        <v>29</v>
      </c>
    </row>
    <row r="71" spans="1:13" ht="9.65" customHeight="1" x14ac:dyDescent="0.35">
      <c r="A71" s="6" t="s">
        <v>30</v>
      </c>
    </row>
  </sheetData>
  <sheetProtection selectLockedCells="1"/>
  <mergeCells count="19">
    <mergeCell ref="L8:M8"/>
    <mergeCell ref="L6:M6"/>
    <mergeCell ref="L7:M7"/>
    <mergeCell ref="F11:H11"/>
    <mergeCell ref="A8:C8"/>
    <mergeCell ref="F8:I8"/>
    <mergeCell ref="A9:C9"/>
    <mergeCell ref="F9:I9"/>
    <mergeCell ref="A10:C10"/>
    <mergeCell ref="F10:I10"/>
    <mergeCell ref="A39:M39"/>
    <mergeCell ref="A45:M45"/>
    <mergeCell ref="A51:M51"/>
    <mergeCell ref="A63:M63"/>
    <mergeCell ref="A15:M15"/>
    <mergeCell ref="A21:M21"/>
    <mergeCell ref="A27:M27"/>
    <mergeCell ref="A33:M33"/>
    <mergeCell ref="A57:M57"/>
  </mergeCells>
  <dataValidations count="7">
    <dataValidation type="whole" errorStyle="information" allowBlank="1" showErrorMessage="1" error="Eingabe außerhalb des gültigen Bereichs." prompt="20°C bis 35°C" sqref="J10" xr:uid="{00000000-0002-0000-03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3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3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3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3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3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300-000006000000}">
      <formula1>0.01</formula1>
      <formula2>1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R71"/>
  <sheetViews>
    <sheetView topLeftCell="I1" workbookViewId="0">
      <selection activeCell="G6" sqref="G6:J6"/>
    </sheetView>
  </sheetViews>
  <sheetFormatPr defaultColWidth="11.453125" defaultRowHeight="14.5" x14ac:dyDescent="0.35"/>
  <cols>
    <col min="1" max="1" width="7" style="1" customWidth="1"/>
    <col min="2" max="2" width="6.1796875" style="1" customWidth="1"/>
    <col min="3" max="3" width="7" style="1" customWidth="1"/>
    <col min="4" max="4" width="6.7265625" style="1" customWidth="1"/>
    <col min="5" max="15" width="7" style="1" customWidth="1"/>
    <col min="16" max="16384" width="11.453125" style="1"/>
  </cols>
  <sheetData>
    <row r="1" spans="1:18" x14ac:dyDescent="0.35">
      <c r="A1" s="21"/>
    </row>
    <row r="2" spans="1:18" x14ac:dyDescent="0.35">
      <c r="A2" s="23" t="s">
        <v>3</v>
      </c>
      <c r="B2" s="22"/>
    </row>
    <row r="3" spans="1:18" x14ac:dyDescent="0.35">
      <c r="A3" s="21"/>
    </row>
    <row r="4" spans="1:18" x14ac:dyDescent="0.35">
      <c r="A4" s="28" t="s">
        <v>5</v>
      </c>
    </row>
    <row r="5" spans="1:18" ht="6" customHeight="1" thickBot="1" x14ac:dyDescent="0.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" thickBot="1" x14ac:dyDescent="0.4">
      <c r="A6" s="12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365" t="s">
        <v>140</v>
      </c>
      <c r="M6" s="366"/>
    </row>
    <row r="7" spans="1:18" ht="15" thickBot="1" x14ac:dyDescent="0.4">
      <c r="A7" s="12" t="s">
        <v>2</v>
      </c>
      <c r="B7" s="7"/>
      <c r="C7" s="7"/>
      <c r="D7" s="7"/>
      <c r="E7" s="7"/>
      <c r="F7" s="8" t="s">
        <v>10</v>
      </c>
      <c r="G7" s="8"/>
      <c r="H7" s="8"/>
      <c r="I7" s="7"/>
      <c r="J7" s="7"/>
      <c r="K7" s="7"/>
      <c r="L7" s="367"/>
      <c r="M7" s="368"/>
      <c r="Q7" s="1" t="s">
        <v>168</v>
      </c>
    </row>
    <row r="8" spans="1:18" ht="15" thickBot="1" x14ac:dyDescent="0.4">
      <c r="A8" s="361" t="str">
        <f>"Vorlauftemp."</f>
        <v>Vorlauftemp.</v>
      </c>
      <c r="B8" s="362"/>
      <c r="C8" s="362"/>
      <c r="D8" s="62">
        <f>cal!E9</f>
        <v>75</v>
      </c>
      <c r="E8" s="48" t="str">
        <f>IF(cal!$X$4=1,"°C",IF(cal!$X$4=2,"°F"))</f>
        <v>°C</v>
      </c>
      <c r="F8" s="362" t="str">
        <f>A8</f>
        <v>Vorlauftemp.</v>
      </c>
      <c r="G8" s="362"/>
      <c r="H8" s="362"/>
      <c r="I8" s="362"/>
      <c r="J8" s="62">
        <f>cal!K9</f>
        <v>16</v>
      </c>
      <c r="K8" s="7" t="str">
        <f>E8</f>
        <v>°C</v>
      </c>
      <c r="L8" s="363" t="s">
        <v>109</v>
      </c>
      <c r="M8" s="364"/>
      <c r="Q8" s="1" t="s">
        <v>169</v>
      </c>
    </row>
    <row r="9" spans="1:18" ht="15" thickTop="1" x14ac:dyDescent="0.35">
      <c r="A9" s="361" t="str">
        <f>"Rücklauftemp."</f>
        <v>Rücklauftemp.</v>
      </c>
      <c r="B9" s="362"/>
      <c r="C9" s="362"/>
      <c r="D9" s="62">
        <f>cal!E10</f>
        <v>65</v>
      </c>
      <c r="E9" s="48" t="str">
        <f>E8</f>
        <v>°C</v>
      </c>
      <c r="F9" s="362" t="str">
        <f>A9</f>
        <v>Rücklauftemp.</v>
      </c>
      <c r="G9" s="362"/>
      <c r="H9" s="362"/>
      <c r="I9" s="362"/>
      <c r="J9" s="62">
        <f>cal!K10</f>
        <v>18</v>
      </c>
      <c r="K9" s="7" t="str">
        <f>E8</f>
        <v>°C</v>
      </c>
      <c r="L9" s="7"/>
      <c r="M9" s="13"/>
      <c r="Q9" s="1" t="s">
        <v>170</v>
      </c>
    </row>
    <row r="10" spans="1:18" x14ac:dyDescent="0.35">
      <c r="A10" s="361" t="str">
        <f>"Raumtemp."</f>
        <v>Raumtemp.</v>
      </c>
      <c r="B10" s="362"/>
      <c r="C10" s="362"/>
      <c r="D10" s="62">
        <f>cal!E11</f>
        <v>20</v>
      </c>
      <c r="E10" s="48" t="str">
        <f>E8</f>
        <v>°C</v>
      </c>
      <c r="F10" s="362" t="str">
        <f>A10</f>
        <v>Raumtemp.</v>
      </c>
      <c r="G10" s="362"/>
      <c r="H10" s="362"/>
      <c r="I10" s="362"/>
      <c r="J10" s="62">
        <f>cal!K11</f>
        <v>27</v>
      </c>
      <c r="K10" s="7" t="str">
        <f>E8</f>
        <v>°C</v>
      </c>
      <c r="L10" s="7"/>
      <c r="M10" s="13"/>
    </row>
    <row r="11" spans="1:18" x14ac:dyDescent="0.35">
      <c r="A11" s="14"/>
      <c r="B11" s="7"/>
      <c r="C11" s="7"/>
      <c r="D11" s="7"/>
      <c r="E11" s="7"/>
      <c r="F11" s="362" t="s">
        <v>148</v>
      </c>
      <c r="G11" s="362"/>
      <c r="H11" s="362"/>
      <c r="I11" s="7"/>
      <c r="J11" s="50">
        <f>cal!K12</f>
        <v>0.5</v>
      </c>
      <c r="K11" s="7"/>
      <c r="L11" s="7"/>
      <c r="M11" s="13"/>
    </row>
    <row r="12" spans="1:18" ht="6" customHeight="1" x14ac:dyDescent="0.3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3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35">
      <c r="A14" s="26" t="s">
        <v>0</v>
      </c>
      <c r="B14" s="19" t="s">
        <v>1</v>
      </c>
      <c r="C14" s="26" t="str">
        <f>CONCATENATE("Wärmeleistung * ",ROUND(D8,0),"/",ROUND(D9,0),"/",ROUND(D10,0)," ["&amp;IF(cal!$X$4=1,"W",IF(cal!$X$4=2,"Btu/h"))&amp;"]")</f>
        <v>Wärmeleistung * 75/65/20 [W]</v>
      </c>
      <c r="D14" s="29" t="str">
        <f>"Heizmittelstrom ["&amp;IF(cal!$X$4=1,"l/h",IF(cal!$X$4=2,"GPM"))&amp;"]"</f>
        <v>Heizmittelstrom [l/h]</v>
      </c>
      <c r="E14" s="32" t="str">
        <f>"zug. wassers. Druckverlust ["&amp;IF(cal!$X$4=1,"kPa",IF(cal!$X$4=2,"inH2O"))&amp;"]"</f>
        <v>zug. wassers. Druckverlust [kPa]</v>
      </c>
      <c r="F14" s="19" t="str">
        <f>CONCATENATE("Sens. Kälteleistung * ",ROUND(J8,0),"/",ROUND(J9,0),"/",ROUND(J10,0)," ["&amp;IF(cal!$X$4=1,"W",IF(cal!$X$4=2,"Btu/h"))&amp;"]")</f>
        <v>Sens. Kälteleistung * 16/18/27 [W]</v>
      </c>
      <c r="G14" s="19" t="str">
        <f>CONCATENATE("Tot. Kälteleistung ",ROUND(J8,0),"/",ROUND(J9,0),"/",ROUND(J10,0)," ["&amp;IF(cal!$X$4=1,"W",IF(cal!$X$4=2,"Btu/h"))&amp;"]")</f>
        <v>Tot. Kälteleistung 16/18/27 [W]</v>
      </c>
      <c r="H14" s="19" t="str">
        <f>"Kühlmittelstrom ["&amp;IF(cal!$X$4=1,"l/h",IF(cal!$X$4=2,"GPM"))&amp;"]"</f>
        <v>Kühlmittelstrom [l/h]</v>
      </c>
      <c r="I14" s="20" t="str">
        <f>"zug. wassers. Druckverlust ["&amp;IF(cal!$X$4=1,"kPa",IF(cal!$X$4=2,"inH2O"))&amp;"]"</f>
        <v>zug. wassers. Druckverlust [kPa]</v>
      </c>
      <c r="J14" s="26" t="s">
        <v>9</v>
      </c>
      <c r="K14" s="31" t="s">
        <v>44</v>
      </c>
      <c r="L14" s="19" t="s">
        <v>6</v>
      </c>
      <c r="M14" s="25" t="str">
        <f>"Luftvolumenstrom ["&amp;IF(cal!$X$4=1,"m³/h",IF(cal!$X$4=2,"CFM"))&amp;"]"</f>
        <v>Luftvolumenstrom [m³/h]</v>
      </c>
      <c r="N14" s="195" t="str">
        <f>"Luftaustrittstemp. Heizung ["&amp;IF(cal!$X$4=1,"°C",IF(cal!$X$4=2,"°F"))&amp;"]"</f>
        <v>Luftaustrittstemp. Heizung [°C]</v>
      </c>
      <c r="O14" s="196" t="str">
        <f>"Luftaustrittstemp. kühlung ["&amp;IF(cal!$X$4=1,"°C",IF(cal!$X$4=2,"°F"))&amp;"]"</f>
        <v>Luftaustrittstemp. kühlung [°C]</v>
      </c>
    </row>
    <row r="15" spans="1:18" ht="18" customHeight="1" x14ac:dyDescent="0.35">
      <c r="A15" s="337" t="str">
        <f>cal!$Z$1&amp;"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Freedom höhe 20 cm breite 19 cm länge 74 cm (Type 1)</v>
      </c>
      <c r="B15" s="338"/>
      <c r="C15" s="337"/>
      <c r="D15" s="339"/>
      <c r="E15" s="338"/>
      <c r="F15" s="338"/>
      <c r="G15" s="338"/>
      <c r="H15" s="338"/>
      <c r="I15" s="338"/>
      <c r="J15" s="337"/>
      <c r="K15" s="338"/>
      <c r="L15" s="338"/>
      <c r="M15" s="339"/>
      <c r="Q15" s="1" t="s">
        <v>95</v>
      </c>
      <c r="R15" s="92" t="s">
        <v>129</v>
      </c>
    </row>
    <row r="16" spans="1:18" x14ac:dyDescent="0.3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100</v>
      </c>
      <c r="R16" s="92" t="s">
        <v>130</v>
      </c>
    </row>
    <row r="17" spans="1:18" x14ac:dyDescent="0.3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101</v>
      </c>
      <c r="R17" s="92" t="s">
        <v>131</v>
      </c>
    </row>
    <row r="18" spans="1:18" x14ac:dyDescent="0.3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3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3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35">
      <c r="A21" s="337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Freedom höhe 20 cm breite 19 cm länge 110 cm (Type 2)</v>
      </c>
      <c r="B21" s="338"/>
      <c r="C21" s="337"/>
      <c r="D21" s="339"/>
      <c r="E21" s="338"/>
      <c r="F21" s="338"/>
      <c r="G21" s="338"/>
      <c r="H21" s="338"/>
      <c r="I21" s="338"/>
      <c r="J21" s="337"/>
      <c r="K21" s="338"/>
      <c r="L21" s="338"/>
      <c r="M21" s="339"/>
    </row>
    <row r="22" spans="1:18" x14ac:dyDescent="0.3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3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3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3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3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35">
      <c r="A27" s="337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Freedom höhe 20 cm breite 19 cm länge 145 cm (Type 3)</v>
      </c>
      <c r="B27" s="338"/>
      <c r="C27" s="337"/>
      <c r="D27" s="339"/>
      <c r="E27" s="338"/>
      <c r="F27" s="338"/>
      <c r="G27" s="338"/>
      <c r="H27" s="338"/>
      <c r="I27" s="338"/>
      <c r="J27" s="337"/>
      <c r="K27" s="338"/>
      <c r="L27" s="338"/>
      <c r="M27" s="339"/>
    </row>
    <row r="28" spans="1:18" x14ac:dyDescent="0.3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3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3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3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3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35">
      <c r="A33" s="337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Freedom höhe 20 cm breite 19 cm länge 181 cm (Type 4)</v>
      </c>
      <c r="B33" s="338"/>
      <c r="C33" s="337"/>
      <c r="D33" s="339"/>
      <c r="E33" s="338"/>
      <c r="F33" s="338"/>
      <c r="G33" s="338"/>
      <c r="H33" s="338"/>
      <c r="I33" s="338"/>
      <c r="J33" s="337"/>
      <c r="K33" s="338"/>
      <c r="L33" s="338"/>
      <c r="M33" s="339"/>
    </row>
    <row r="34" spans="1:13" x14ac:dyDescent="0.3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3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3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3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x14ac:dyDescent="0.3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35">
      <c r="A39" s="337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Freedom höhe 0 cm breite 0 cm länge 0 cm (Type 5)</v>
      </c>
      <c r="B39" s="338"/>
      <c r="C39" s="337"/>
      <c r="D39" s="339"/>
      <c r="E39" s="338"/>
      <c r="F39" s="338"/>
      <c r="G39" s="338"/>
      <c r="H39" s="338"/>
      <c r="I39" s="338"/>
      <c r="J39" s="337"/>
      <c r="K39" s="338"/>
      <c r="L39" s="338"/>
      <c r="M39" s="339"/>
    </row>
    <row r="40" spans="1:13" ht="15" customHeight="1" x14ac:dyDescent="0.3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3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3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3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3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ht="15" customHeight="1" x14ac:dyDescent="0.35">
      <c r="A45" s="337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Freedom höhe 0 cm breite 0 cm länge 0 cm (Type 6)</v>
      </c>
      <c r="B45" s="338"/>
      <c r="C45" s="337"/>
      <c r="D45" s="339"/>
      <c r="E45" s="338"/>
      <c r="F45" s="338"/>
      <c r="G45" s="338"/>
      <c r="H45" s="338"/>
      <c r="I45" s="338"/>
      <c r="J45" s="337"/>
      <c r="K45" s="338"/>
      <c r="L45" s="338"/>
      <c r="M45" s="339"/>
    </row>
    <row r="46" spans="1:13" ht="15" customHeight="1" x14ac:dyDescent="0.3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3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3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3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3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35">
      <c r="A51" s="337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Freedom höhe 0 cm breite 0 cm länge 0 cm (Type 7)</v>
      </c>
      <c r="B51" s="338"/>
      <c r="C51" s="337"/>
      <c r="D51" s="339"/>
      <c r="E51" s="338"/>
      <c r="F51" s="338"/>
      <c r="G51" s="338"/>
      <c r="H51" s="338"/>
      <c r="I51" s="338"/>
      <c r="J51" s="337"/>
      <c r="K51" s="338"/>
      <c r="L51" s="338"/>
      <c r="M51" s="339"/>
    </row>
    <row r="52" spans="1:13" ht="15" customHeight="1" x14ac:dyDescent="0.3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3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3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3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3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35">
      <c r="A57" s="337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Freedom höhe 0 cm breite 0 cm länge 0 cm (Type 8)</v>
      </c>
      <c r="B57" s="338"/>
      <c r="C57" s="337"/>
      <c r="D57" s="339"/>
      <c r="E57" s="338"/>
      <c r="F57" s="338"/>
      <c r="G57" s="338"/>
      <c r="H57" s="338"/>
      <c r="I57" s="338"/>
      <c r="J57" s="337"/>
      <c r="K57" s="338"/>
      <c r="L57" s="338"/>
      <c r="M57" s="339"/>
    </row>
    <row r="58" spans="1:13" ht="15" customHeight="1" x14ac:dyDescent="0.3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3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3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3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3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35">
      <c r="A63" s="337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Freedom höhe 0 cm breite 0 cm länge 0 cm (Type 9)</v>
      </c>
      <c r="B63" s="338"/>
      <c r="C63" s="337"/>
      <c r="D63" s="339"/>
      <c r="E63" s="338"/>
      <c r="F63" s="338"/>
      <c r="G63" s="338"/>
      <c r="H63" s="338"/>
      <c r="I63" s="338"/>
      <c r="J63" s="337"/>
      <c r="K63" s="338"/>
      <c r="L63" s="338"/>
      <c r="M63" s="339"/>
    </row>
    <row r="64" spans="1:13" ht="15" customHeight="1" x14ac:dyDescent="0.3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3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3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3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3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5" customHeight="1" x14ac:dyDescent="0.35">
      <c r="A69" s="6" t="s">
        <v>59</v>
      </c>
      <c r="L69" s="47"/>
      <c r="M69" s="45" t="str">
        <f>cal!N70</f>
        <v>v2022-08-26</v>
      </c>
    </row>
    <row r="70" spans="1:13" ht="9.65" customHeight="1" x14ac:dyDescent="0.35">
      <c r="A70" s="6" t="s">
        <v>7</v>
      </c>
    </row>
    <row r="71" spans="1:13" ht="9.65" customHeight="1" x14ac:dyDescent="0.35">
      <c r="A71" s="6" t="s">
        <v>8</v>
      </c>
    </row>
  </sheetData>
  <sheetProtection selectLockedCells="1"/>
  <mergeCells count="19">
    <mergeCell ref="L8:M8"/>
    <mergeCell ref="L6:M6"/>
    <mergeCell ref="L7:M7"/>
    <mergeCell ref="F11:H11"/>
    <mergeCell ref="A8:C8"/>
    <mergeCell ref="F8:I8"/>
    <mergeCell ref="A9:C9"/>
    <mergeCell ref="F9:I9"/>
    <mergeCell ref="A10:C10"/>
    <mergeCell ref="F10:I10"/>
    <mergeCell ref="A39:M39"/>
    <mergeCell ref="A45:M45"/>
    <mergeCell ref="A51:M51"/>
    <mergeCell ref="A63:M63"/>
    <mergeCell ref="A15:M15"/>
    <mergeCell ref="A21:M21"/>
    <mergeCell ref="A27:M27"/>
    <mergeCell ref="A33:M33"/>
    <mergeCell ref="A57:M57"/>
  </mergeCells>
  <dataValidations count="7">
    <dataValidation type="whole" errorStyle="information" allowBlank="1" showErrorMessage="1" error="Eingabe außerhalb des gültigen Bereichs." prompt="20°C bis 35°C" sqref="J10" xr:uid="{00000000-0002-0000-04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4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4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4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4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4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400-000006000000}">
      <formula1>0.01</formula1>
      <formula2>1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A1:R71"/>
  <sheetViews>
    <sheetView topLeftCell="C1" zoomScaleNormal="100" workbookViewId="0">
      <selection activeCell="G6" sqref="G6:J6"/>
    </sheetView>
  </sheetViews>
  <sheetFormatPr defaultColWidth="11.453125" defaultRowHeight="15" customHeight="1" x14ac:dyDescent="0.35"/>
  <cols>
    <col min="1" max="1" width="7" style="1" customWidth="1"/>
    <col min="2" max="2" width="6.1796875" style="1" customWidth="1"/>
    <col min="3" max="3" width="7" style="1" customWidth="1"/>
    <col min="4" max="4" width="6.7265625" style="1" customWidth="1"/>
    <col min="5" max="15" width="7" style="1" customWidth="1"/>
    <col min="16" max="16384" width="11.453125" style="1"/>
  </cols>
  <sheetData>
    <row r="1" spans="1:18" ht="14.5" x14ac:dyDescent="0.35">
      <c r="A1" s="21"/>
    </row>
    <row r="2" spans="1:18" ht="14.5" x14ac:dyDescent="0.35">
      <c r="A2" s="23" t="s">
        <v>34</v>
      </c>
      <c r="B2" s="22"/>
    </row>
    <row r="3" spans="1:18" ht="14.5" x14ac:dyDescent="0.35">
      <c r="A3" s="21"/>
    </row>
    <row r="4" spans="1:18" ht="14.5" x14ac:dyDescent="0.35">
      <c r="A4" s="28" t="s">
        <v>31</v>
      </c>
    </row>
    <row r="5" spans="1:18" ht="6" customHeight="1" thickBot="1" x14ac:dyDescent="0.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thickBot="1" x14ac:dyDescent="0.4">
      <c r="A6" s="12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365" t="s">
        <v>141</v>
      </c>
      <c r="M6" s="366"/>
    </row>
    <row r="7" spans="1:18" thickBot="1" x14ac:dyDescent="0.4">
      <c r="A7" s="12" t="s">
        <v>46</v>
      </c>
      <c r="B7" s="7"/>
      <c r="C7" s="7"/>
      <c r="D7" s="7"/>
      <c r="E7" s="7"/>
      <c r="F7" s="8" t="s">
        <v>36</v>
      </c>
      <c r="G7" s="8"/>
      <c r="H7" s="8"/>
      <c r="I7" s="7"/>
      <c r="J7" s="7"/>
      <c r="K7" s="7"/>
      <c r="L7" s="367"/>
      <c r="M7" s="368"/>
      <c r="Q7" s="1" t="s">
        <v>171</v>
      </c>
    </row>
    <row r="8" spans="1:18" thickBot="1" x14ac:dyDescent="0.4">
      <c r="A8" s="361" t="str">
        <f>"Temp. entrée"</f>
        <v>Temp. entrée</v>
      </c>
      <c r="B8" s="362"/>
      <c r="C8" s="362"/>
      <c r="D8" s="62">
        <f>cal!E9</f>
        <v>75</v>
      </c>
      <c r="E8" s="48" t="str">
        <f>IF(cal!$X$4=1,"°C",IF(cal!$X$4=2,"°F"))</f>
        <v>°C</v>
      </c>
      <c r="F8" s="362" t="str">
        <f>A8</f>
        <v>Temp. entrée</v>
      </c>
      <c r="G8" s="362"/>
      <c r="H8" s="362"/>
      <c r="I8" s="362"/>
      <c r="J8" s="62">
        <f>cal!K9</f>
        <v>16</v>
      </c>
      <c r="K8" s="7" t="str">
        <f>E8</f>
        <v>°C</v>
      </c>
      <c r="L8" s="363" t="s">
        <v>110</v>
      </c>
      <c r="M8" s="364"/>
      <c r="Q8" s="1" t="s">
        <v>172</v>
      </c>
    </row>
    <row r="9" spans="1:18" thickTop="1" x14ac:dyDescent="0.35">
      <c r="A9" s="361" t="str">
        <f>"Temp. retour"</f>
        <v>Temp. retour</v>
      </c>
      <c r="B9" s="362"/>
      <c r="C9" s="362"/>
      <c r="D9" s="62">
        <f>cal!E10</f>
        <v>65</v>
      </c>
      <c r="E9" s="48" t="str">
        <f>E8</f>
        <v>°C</v>
      </c>
      <c r="F9" s="362" t="str">
        <f>A9</f>
        <v>Temp. retour</v>
      </c>
      <c r="G9" s="362"/>
      <c r="H9" s="362"/>
      <c r="I9" s="362"/>
      <c r="J9" s="62">
        <f>cal!K10</f>
        <v>18</v>
      </c>
      <c r="K9" s="7" t="str">
        <f>E8</f>
        <v>°C</v>
      </c>
      <c r="L9" s="7"/>
      <c r="M9" s="13"/>
      <c r="Q9" s="1" t="s">
        <v>173</v>
      </c>
    </row>
    <row r="10" spans="1:18" ht="14.5" x14ac:dyDescent="0.35">
      <c r="A10" s="361" t="str">
        <f>"Temp. ambiante"</f>
        <v>Temp. ambiante</v>
      </c>
      <c r="B10" s="362"/>
      <c r="C10" s="362"/>
      <c r="D10" s="62">
        <f>cal!E11</f>
        <v>20</v>
      </c>
      <c r="E10" s="48" t="str">
        <f>E8</f>
        <v>°C</v>
      </c>
      <c r="F10" s="362" t="str">
        <f>A10</f>
        <v>Temp. ambiante</v>
      </c>
      <c r="G10" s="362"/>
      <c r="H10" s="362"/>
      <c r="I10" s="362"/>
      <c r="J10" s="62">
        <f>cal!K11</f>
        <v>27</v>
      </c>
      <c r="K10" s="7" t="str">
        <f>E8</f>
        <v>°C</v>
      </c>
      <c r="L10" s="7"/>
      <c r="M10" s="13"/>
    </row>
    <row r="11" spans="1:18" ht="14.5" x14ac:dyDescent="0.35">
      <c r="A11" s="14"/>
      <c r="B11" s="7"/>
      <c r="C11" s="7"/>
      <c r="D11" s="7"/>
      <c r="E11" s="7"/>
      <c r="F11" s="362" t="s">
        <v>149</v>
      </c>
      <c r="G11" s="362"/>
      <c r="H11" s="362"/>
      <c r="I11" s="7"/>
      <c r="J11" s="50">
        <f>cal!K12</f>
        <v>0.5</v>
      </c>
      <c r="K11" s="7"/>
      <c r="L11" s="7"/>
      <c r="M11" s="13"/>
    </row>
    <row r="12" spans="1:18" ht="6" customHeight="1" x14ac:dyDescent="0.3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ht="14.5" x14ac:dyDescent="0.3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35">
      <c r="A14" s="26" t="s">
        <v>32</v>
      </c>
      <c r="B14" s="19" t="s">
        <v>35</v>
      </c>
      <c r="C14" s="26" t="str">
        <f>CONCATENATE("Puissance de cha. * ",ROUND(D8,0),"/",ROUND(D9,0),"/",ROUND(D10,0)," ["&amp;IF(cal!$X$4=1,"W",IF(cal!$X$4=2,"Btu/h"))&amp;"]")</f>
        <v>Puissance de cha. * 75/65/20 [W]</v>
      </c>
      <c r="D14" s="29" t="str">
        <f>"Débit d'eau, chauffer ["&amp;IF(cal!$X$4=1,"l/h",IF(cal!$X$4=2,"GPM"))&amp;"]"</f>
        <v>Débit d'eau, chauffer [l/h]</v>
      </c>
      <c r="E14" s="32" t="str">
        <f>"Perte de charge ["&amp;IF(cal!$X$4=1,"kPa",IF(cal!$X$4=2,"inH2O"))&amp;"]"</f>
        <v>Perte de charge [kPa]</v>
      </c>
      <c r="F14" s="19" t="str">
        <f>CONCATENATE("Puissance sens. de refr. * ",ROUND(J8,0),"/",ROUND(J9,0),"/",ROUND(J10,0)," ["&amp;IF(cal!$X$4=1,"W",IF(cal!$X$4=2,"Btu/h"))&amp;"]")</f>
        <v>Puissance sens. de refr. * 16/18/27 [W]</v>
      </c>
      <c r="G14" s="19" t="str">
        <f>CONCATENATE("Puissance tot. de refr. ",ROUND(J8,0),"/",ROUND(J9,0),"/",ROUND(J10,0)," ["&amp;IF(cal!$X$4=1,"W",IF(cal!$X$4=2,"Btu/h"))&amp;"]")</f>
        <v>Puissance tot. de refr. 16/18/27 [W]</v>
      </c>
      <c r="H14" s="19" t="str">
        <f>"Débit d'eau, refroidir ["&amp;IF(cal!$X$4=1,"l/h",IF(cal!$X$4=2,"GPM"))&amp;"]"</f>
        <v>Débit d'eau, refroidir [l/h]</v>
      </c>
      <c r="I14" s="20" t="str">
        <f>"Perte de charge ["&amp;IF(cal!$X$4=1,"kPa",IF(cal!$X$4=2,"inH2O"))&amp;"]"</f>
        <v>Perte de charge [kPa]</v>
      </c>
      <c r="J14" s="26" t="s">
        <v>37</v>
      </c>
      <c r="K14" s="31" t="s">
        <v>39</v>
      </c>
      <c r="L14" s="19" t="s">
        <v>38</v>
      </c>
      <c r="M14" s="25" t="str">
        <f>"Débit d'air ["&amp;IF(cal!$X$4=1,"m³/h",IF(cal!$X$4=2,"CFM"))&amp;"]"</f>
        <v>Débit d'air [m³/h]</v>
      </c>
      <c r="N14" s="195" t="str">
        <f>"Temp. de la sortie d'air cha. ["&amp;IF(cal!$X$4=1,"°C",IF(cal!$X$4=2,"°F"))&amp;"]"</f>
        <v>Temp. de la sortie d'air cha. [°C]</v>
      </c>
      <c r="O14" s="196" t="str">
        <f>"Temp. de la sortie d'air refr. ["&amp;IF(cal!$X$4=1,"°C",IF(cal!$X$4=2,"°F"))&amp;"]"</f>
        <v>Temp. de la sortie d'air refr. [°C]</v>
      </c>
    </row>
    <row r="15" spans="1:18" ht="18" customHeight="1" x14ac:dyDescent="0.35">
      <c r="A15" s="337" t="str">
        <f>cal!$Z$1&amp;"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Freedom hauteur 20 cm largeur 19 cm longueur 74 cm (Type 1)</v>
      </c>
      <c r="B15" s="338"/>
      <c r="C15" s="337"/>
      <c r="D15" s="339"/>
      <c r="E15" s="338"/>
      <c r="F15" s="338"/>
      <c r="G15" s="338"/>
      <c r="H15" s="338"/>
      <c r="I15" s="338"/>
      <c r="J15" s="337"/>
      <c r="K15" s="338"/>
      <c r="L15" s="338"/>
      <c r="M15" s="339"/>
      <c r="Q15" s="1" t="s">
        <v>95</v>
      </c>
      <c r="R15" s="92" t="s">
        <v>126</v>
      </c>
    </row>
    <row r="16" spans="1:18" ht="14.5" x14ac:dyDescent="0.3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102</v>
      </c>
      <c r="R16" s="92" t="s">
        <v>127</v>
      </c>
    </row>
    <row r="17" spans="1:18" ht="14.5" x14ac:dyDescent="0.3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103</v>
      </c>
      <c r="R17" s="92" t="s">
        <v>128</v>
      </c>
    </row>
    <row r="18" spans="1:18" ht="14.5" x14ac:dyDescent="0.3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ht="14.5" x14ac:dyDescent="0.3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ht="14.5" x14ac:dyDescent="0.3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35">
      <c r="A21" s="337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Freedom hauteur 20 cm largeur 19 cm longueur 110 cm (Type 2)</v>
      </c>
      <c r="B21" s="338"/>
      <c r="C21" s="337"/>
      <c r="D21" s="339"/>
      <c r="E21" s="338"/>
      <c r="F21" s="338"/>
      <c r="G21" s="338"/>
      <c r="H21" s="338"/>
      <c r="I21" s="338"/>
      <c r="J21" s="337"/>
      <c r="K21" s="338"/>
      <c r="L21" s="338"/>
      <c r="M21" s="339"/>
    </row>
    <row r="22" spans="1:18" ht="14.5" x14ac:dyDescent="0.3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ht="14.5" x14ac:dyDescent="0.3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ht="14.5" x14ac:dyDescent="0.3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ht="14.5" x14ac:dyDescent="0.3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ht="14.5" x14ac:dyDescent="0.3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35">
      <c r="A27" s="337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Freedom hauteur 20 cm largeur 19 cm longueur 145 cm (Type 3)</v>
      </c>
      <c r="B27" s="338"/>
      <c r="C27" s="337"/>
      <c r="D27" s="339"/>
      <c r="E27" s="338"/>
      <c r="F27" s="338"/>
      <c r="G27" s="338"/>
      <c r="H27" s="338"/>
      <c r="I27" s="338"/>
      <c r="J27" s="337"/>
      <c r="K27" s="338"/>
      <c r="L27" s="338"/>
      <c r="M27" s="339"/>
    </row>
    <row r="28" spans="1:18" ht="14.5" x14ac:dyDescent="0.3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ht="14.5" x14ac:dyDescent="0.3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ht="14.5" x14ac:dyDescent="0.3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ht="14.5" x14ac:dyDescent="0.3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ht="14.5" x14ac:dyDescent="0.3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35">
      <c r="A33" s="337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Freedom hauteur 20 cm largeur 19 cm longueur 181 cm (Type 4)</v>
      </c>
      <c r="B33" s="338"/>
      <c r="C33" s="337"/>
      <c r="D33" s="339"/>
      <c r="E33" s="338"/>
      <c r="F33" s="338"/>
      <c r="G33" s="338"/>
      <c r="H33" s="338"/>
      <c r="I33" s="338"/>
      <c r="J33" s="337"/>
      <c r="K33" s="338"/>
      <c r="L33" s="338"/>
      <c r="M33" s="339"/>
    </row>
    <row r="34" spans="1:13" ht="14.5" x14ac:dyDescent="0.3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ht="14.5" x14ac:dyDescent="0.3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ht="14.5" x14ac:dyDescent="0.3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ht="14.5" x14ac:dyDescent="0.3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ht="14.5" x14ac:dyDescent="0.3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35">
      <c r="A39" s="337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Freedom hauteur 0 cm largeur 0 cm longueur 0 cm (Type 5)</v>
      </c>
      <c r="B39" s="338"/>
      <c r="C39" s="337"/>
      <c r="D39" s="339"/>
      <c r="E39" s="338"/>
      <c r="F39" s="338"/>
      <c r="G39" s="338"/>
      <c r="H39" s="338"/>
      <c r="I39" s="338"/>
      <c r="J39" s="337"/>
      <c r="K39" s="338"/>
      <c r="L39" s="338"/>
      <c r="M39" s="339"/>
    </row>
    <row r="40" spans="1:13" ht="15" customHeight="1" x14ac:dyDescent="0.3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3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3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3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3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ht="14.5" x14ac:dyDescent="0.35">
      <c r="A45" s="337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Freedom hauteur 0 cm largeur 0 cm longueur 0 cm (Type 6)</v>
      </c>
      <c r="B45" s="338"/>
      <c r="C45" s="337"/>
      <c r="D45" s="339"/>
      <c r="E45" s="338"/>
      <c r="F45" s="338"/>
      <c r="G45" s="338"/>
      <c r="H45" s="338"/>
      <c r="I45" s="338"/>
      <c r="J45" s="337"/>
      <c r="K45" s="338"/>
      <c r="L45" s="338"/>
      <c r="M45" s="339"/>
    </row>
    <row r="46" spans="1:13" ht="15" customHeight="1" x14ac:dyDescent="0.3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3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3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3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3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35">
      <c r="A51" s="337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Freedom hauteur 0 cm largeur 0 cm longueur 0 cm (Type 7)</v>
      </c>
      <c r="B51" s="338"/>
      <c r="C51" s="337"/>
      <c r="D51" s="339"/>
      <c r="E51" s="338"/>
      <c r="F51" s="338"/>
      <c r="G51" s="338"/>
      <c r="H51" s="338"/>
      <c r="I51" s="338"/>
      <c r="J51" s="337"/>
      <c r="K51" s="338"/>
      <c r="L51" s="338"/>
      <c r="M51" s="339"/>
    </row>
    <row r="52" spans="1:13" ht="15" customHeight="1" x14ac:dyDescent="0.3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3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3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3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3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35">
      <c r="A57" s="337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Freedom hauteur 0 cm largeur 0 cm longueur 0 cm (Type 8)</v>
      </c>
      <c r="B57" s="338"/>
      <c r="C57" s="337"/>
      <c r="D57" s="339"/>
      <c r="E57" s="338"/>
      <c r="F57" s="338"/>
      <c r="G57" s="338"/>
      <c r="H57" s="338"/>
      <c r="I57" s="338"/>
      <c r="J57" s="337"/>
      <c r="K57" s="338"/>
      <c r="L57" s="338"/>
      <c r="M57" s="339"/>
    </row>
    <row r="58" spans="1:13" ht="15" customHeight="1" x14ac:dyDescent="0.3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3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3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3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3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35">
      <c r="A63" s="337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Freedom hauteur 0 cm largeur 0 cm longueur 0 cm (Type 9)</v>
      </c>
      <c r="B63" s="338"/>
      <c r="C63" s="337"/>
      <c r="D63" s="339"/>
      <c r="E63" s="338"/>
      <c r="F63" s="338"/>
      <c r="G63" s="338"/>
      <c r="H63" s="338"/>
      <c r="I63" s="338"/>
      <c r="J63" s="337"/>
      <c r="K63" s="338"/>
      <c r="L63" s="338"/>
      <c r="M63" s="339"/>
    </row>
    <row r="64" spans="1:13" ht="15" customHeight="1" x14ac:dyDescent="0.3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3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3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3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3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5" customHeight="1" x14ac:dyDescent="0.35">
      <c r="A69" s="6" t="s">
        <v>60</v>
      </c>
      <c r="L69" s="47"/>
      <c r="M69" s="45" t="str">
        <f>cal!N70</f>
        <v>v2022-08-26</v>
      </c>
    </row>
    <row r="70" spans="1:13" ht="9.65" customHeight="1" x14ac:dyDescent="0.35">
      <c r="A70" s="6" t="s">
        <v>40</v>
      </c>
    </row>
    <row r="71" spans="1:13" ht="9.65" customHeight="1" x14ac:dyDescent="0.35">
      <c r="A71" s="6" t="s">
        <v>41</v>
      </c>
    </row>
  </sheetData>
  <sheetProtection selectLockedCells="1"/>
  <mergeCells count="19">
    <mergeCell ref="L8:M8"/>
    <mergeCell ref="L6:M6"/>
    <mergeCell ref="L7:M7"/>
    <mergeCell ref="F11:H11"/>
    <mergeCell ref="A8:C8"/>
    <mergeCell ref="F8:I8"/>
    <mergeCell ref="A9:C9"/>
    <mergeCell ref="F9:I9"/>
    <mergeCell ref="A10:C10"/>
    <mergeCell ref="F10:I10"/>
    <mergeCell ref="A39:M39"/>
    <mergeCell ref="A45:M45"/>
    <mergeCell ref="A51:M51"/>
    <mergeCell ref="A63:M63"/>
    <mergeCell ref="A15:M15"/>
    <mergeCell ref="A21:M21"/>
    <mergeCell ref="A27:M27"/>
    <mergeCell ref="A33:M33"/>
    <mergeCell ref="A57:M57"/>
  </mergeCells>
  <dataValidations count="7">
    <dataValidation type="whole" errorStyle="information" allowBlank="1" showErrorMessage="1" error="Eingabe außerhalb des gültigen Bereichs." prompt="20°C bis 35°C" sqref="J10" xr:uid="{00000000-0002-0000-05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5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5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5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5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5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500-000006000000}">
      <formula1>0.01</formula1>
      <formula2>1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R71"/>
  <sheetViews>
    <sheetView topLeftCell="C1" zoomScaleNormal="100" workbookViewId="0">
      <selection activeCell="G6" sqref="G6:J6"/>
    </sheetView>
  </sheetViews>
  <sheetFormatPr defaultColWidth="11.453125" defaultRowHeight="15" customHeight="1" x14ac:dyDescent="0.35"/>
  <cols>
    <col min="1" max="1" width="7" style="1" customWidth="1"/>
    <col min="2" max="2" width="6.1796875" style="1" customWidth="1"/>
    <col min="3" max="3" width="7" style="1" customWidth="1"/>
    <col min="4" max="4" width="6.7265625" style="1" customWidth="1"/>
    <col min="5" max="15" width="7" style="1" customWidth="1"/>
    <col min="16" max="16384" width="11.453125" style="1"/>
  </cols>
  <sheetData>
    <row r="1" spans="1:18" ht="14.5" x14ac:dyDescent="0.35">
      <c r="A1" s="21"/>
    </row>
    <row r="2" spans="1:18" ht="14.5" x14ac:dyDescent="0.35">
      <c r="A2" s="159" t="s">
        <v>94</v>
      </c>
      <c r="B2" s="22"/>
    </row>
    <row r="3" spans="1:18" ht="14.5" x14ac:dyDescent="0.35">
      <c r="A3" s="21"/>
      <c r="G3" s="369"/>
      <c r="H3" s="370"/>
      <c r="I3" s="370"/>
      <c r="J3" s="371"/>
    </row>
    <row r="4" spans="1:18" ht="14.5" x14ac:dyDescent="0.35">
      <c r="A4" s="28" t="s">
        <v>31</v>
      </c>
      <c r="G4" s="369"/>
      <c r="H4" s="370"/>
      <c r="I4" s="370"/>
      <c r="J4" s="371"/>
    </row>
    <row r="5" spans="1:18" ht="6" customHeight="1" thickBot="1" x14ac:dyDescent="0.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thickBot="1" x14ac:dyDescent="0.4">
      <c r="A6" s="158" t="s">
        <v>91</v>
      </c>
      <c r="B6" s="7"/>
      <c r="C6" s="7"/>
      <c r="D6" s="7"/>
      <c r="E6" s="7"/>
      <c r="F6" s="7"/>
      <c r="G6" s="7"/>
      <c r="H6" s="7"/>
      <c r="I6" s="7"/>
      <c r="J6" s="7"/>
      <c r="K6" s="7"/>
      <c r="L6" s="365" t="s">
        <v>142</v>
      </c>
      <c r="M6" s="366"/>
    </row>
    <row r="7" spans="1:18" thickBot="1" x14ac:dyDescent="0.4">
      <c r="A7" s="158" t="s">
        <v>92</v>
      </c>
      <c r="B7" s="7"/>
      <c r="C7" s="7"/>
      <c r="D7" s="7"/>
      <c r="E7" s="7"/>
      <c r="F7" s="98" t="s">
        <v>93</v>
      </c>
      <c r="G7" s="8"/>
      <c r="H7" s="8"/>
      <c r="I7" s="7"/>
      <c r="J7" s="7"/>
      <c r="K7" s="7"/>
      <c r="L7" s="367"/>
      <c r="M7" s="368"/>
      <c r="Q7" s="1" t="s">
        <v>174</v>
      </c>
    </row>
    <row r="8" spans="1:18" thickBot="1" x14ac:dyDescent="0.4">
      <c r="A8" s="372" t="s">
        <v>88</v>
      </c>
      <c r="B8" s="373">
        <v>0</v>
      </c>
      <c r="C8" s="373">
        <v>0</v>
      </c>
      <c r="D8" s="62">
        <f>cal!E9</f>
        <v>75</v>
      </c>
      <c r="E8" s="48" t="str">
        <f>IF(cal!$X$4=1,"°C",IF(cal!$X$4=2,"°F"))</f>
        <v>°C</v>
      </c>
      <c r="F8" s="362" t="str">
        <f>A8</f>
        <v>Tur vanntemp.</v>
      </c>
      <c r="G8" s="362"/>
      <c r="H8" s="362"/>
      <c r="I8" s="362"/>
      <c r="J8" s="62">
        <f>cal!K9</f>
        <v>16</v>
      </c>
      <c r="K8" s="7" t="str">
        <f>E8</f>
        <v>°C</v>
      </c>
      <c r="L8" s="363" t="s">
        <v>111</v>
      </c>
      <c r="M8" s="364"/>
      <c r="Q8" s="1" t="s">
        <v>175</v>
      </c>
    </row>
    <row r="9" spans="1:18" thickTop="1" x14ac:dyDescent="0.35">
      <c r="A9" s="372" t="s">
        <v>89</v>
      </c>
      <c r="B9" s="373">
        <v>0</v>
      </c>
      <c r="C9" s="373">
        <v>0</v>
      </c>
      <c r="D9" s="62">
        <f>cal!E10</f>
        <v>65</v>
      </c>
      <c r="E9" s="48" t="str">
        <f>E8</f>
        <v>°C</v>
      </c>
      <c r="F9" s="362" t="str">
        <f>A9</f>
        <v>Retur vanntemp.</v>
      </c>
      <c r="G9" s="362"/>
      <c r="H9" s="362"/>
      <c r="I9" s="362"/>
      <c r="J9" s="62">
        <f>cal!K10</f>
        <v>18</v>
      </c>
      <c r="K9" s="7" t="str">
        <f>E8</f>
        <v>°C</v>
      </c>
      <c r="L9" s="7"/>
      <c r="M9" s="13"/>
      <c r="Q9" s="1" t="s">
        <v>176</v>
      </c>
    </row>
    <row r="10" spans="1:18" ht="14.5" x14ac:dyDescent="0.35">
      <c r="A10" s="372" t="s">
        <v>90</v>
      </c>
      <c r="B10" s="373">
        <v>0</v>
      </c>
      <c r="C10" s="373">
        <v>0</v>
      </c>
      <c r="D10" s="62">
        <f>cal!E11</f>
        <v>20</v>
      </c>
      <c r="E10" s="48" t="str">
        <f>E8</f>
        <v>°C</v>
      </c>
      <c r="F10" s="362" t="str">
        <f>A10</f>
        <v>Rom temp.</v>
      </c>
      <c r="G10" s="362"/>
      <c r="H10" s="362"/>
      <c r="I10" s="362"/>
      <c r="J10" s="62">
        <f>cal!K11</f>
        <v>27</v>
      </c>
      <c r="K10" s="7" t="str">
        <f>E8</f>
        <v>°C</v>
      </c>
      <c r="L10" s="7"/>
      <c r="M10" s="13"/>
    </row>
    <row r="11" spans="1:18" ht="14.5" x14ac:dyDescent="0.35">
      <c r="A11" s="14"/>
      <c r="B11" s="7"/>
      <c r="C11" s="7"/>
      <c r="D11" s="7"/>
      <c r="E11" s="7"/>
      <c r="F11" s="362" t="s">
        <v>150</v>
      </c>
      <c r="G11" s="362"/>
      <c r="H11" s="362"/>
      <c r="I11" s="7"/>
      <c r="J11" s="50">
        <f>cal!K12</f>
        <v>0.5</v>
      </c>
      <c r="K11" s="7"/>
      <c r="L11" s="7"/>
      <c r="M11" s="13"/>
    </row>
    <row r="12" spans="1:18" ht="6" customHeight="1" x14ac:dyDescent="0.3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ht="14.5" x14ac:dyDescent="0.3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35">
      <c r="A14" s="153" t="s">
        <v>83</v>
      </c>
      <c r="B14" s="154" t="s">
        <v>84</v>
      </c>
      <c r="C14" s="153" t="str">
        <f>CONCATENATE("Varme effekt * ",ROUND(D8,0),"/",ROUND(D9,0),"/",ROUND(D10,0)," ["&amp;IF(cal!$X$4=1,"W",IF(cal!$X$4=2,"Btu/h"))&amp;"]")</f>
        <v>Varme effekt * 75/65/20 [W]</v>
      </c>
      <c r="D14" s="155" t="str">
        <f>"Vannmengde, varme ["&amp;IF(cal!$X$4=1,"l/h",IF(cal!$X$4=2,"GPM"))&amp;"]"</f>
        <v>Vannmengde, varme [l/h]</v>
      </c>
      <c r="E14" s="156" t="str">
        <f>"Trykktap ["&amp;IF(cal!$X$4=1,"kPa",IF(cal!$X$4=2,"ftH2O"))&amp;"]"</f>
        <v>Trykktap [kPa]</v>
      </c>
      <c r="F14" s="154" t="str">
        <f>CONCATENATE("Sens. Kjøling effekt * ",ROUND(J8,0),"/",ROUND(J9,0),"/",ROUND(J10,0)," ["&amp;IF(cal!$X$4=1,"W",IF(cal!$X$4=2,"Btu/h"))&amp;"]")</f>
        <v>Sens. Kjøling effekt * 16/18/27 [W]</v>
      </c>
      <c r="G14" s="154" t="str">
        <f>CONCATENATE("Tot. Kjøle effekt * ",ROUND(J8,0),"/",ROUND(J9,0),"/",ROUND(J10,0)," ["&amp;IF(cal!$X$4=1,"W",IF(cal!$X$4=2,"Btu/h"))&amp;"]")</f>
        <v>Tot. Kjøle effekt * 16/18/27 [W]</v>
      </c>
      <c r="H14" s="154" t="str">
        <f>"Vannmengde, kjøling ["&amp;IF(cal!$X$4=1,"l/h",IF(cal!$X$4=2,"GPM"))&amp;"]"</f>
        <v>Vannmengde, kjøling [l/h]</v>
      </c>
      <c r="I14" s="154" t="str">
        <f>E14</f>
        <v>Trykktap [kPa]</v>
      </c>
      <c r="J14" s="153" t="s">
        <v>85</v>
      </c>
      <c r="K14" s="157" t="s">
        <v>86</v>
      </c>
      <c r="L14" s="154" t="s">
        <v>87</v>
      </c>
      <c r="M14" s="156" t="str">
        <f>"Luftmengde ["&amp;IF(cal!$X$4=1,"m³/h",IF(cal!$X$4=2,"CFM"))&amp;"]"</f>
        <v>Luftmengde [m³/h]</v>
      </c>
      <c r="N14" s="195" t="str">
        <f>"Utluft temperatur, Varme ["&amp;IF(cal!$X$4=1,"°C",IF(cal!$X$4=2,"°F"))&amp;"]"</f>
        <v>Utluft temperatur, Varme [°C]</v>
      </c>
      <c r="O14" s="196" t="str">
        <f>"Utluft temperatur, Kjøling ["&amp;IF(cal!$X$4=1,"°C",IF(cal!$X$4=2,"°F"))&amp;"]"</f>
        <v>Utluft temperatur, Kjøling [°C]</v>
      </c>
    </row>
    <row r="15" spans="1:18" ht="18" customHeight="1" x14ac:dyDescent="0.35">
      <c r="A15" s="337" t="str">
        <f>cal!$Z$1&amp;"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Freedom høyde 20 cm bredde 19 cm lengde 74 cm (Type 1)</v>
      </c>
      <c r="B15" s="338"/>
      <c r="C15" s="337"/>
      <c r="D15" s="339"/>
      <c r="E15" s="338"/>
      <c r="F15" s="338"/>
      <c r="G15" s="338"/>
      <c r="H15" s="338"/>
      <c r="I15" s="338"/>
      <c r="J15" s="337"/>
      <c r="K15" s="338"/>
      <c r="L15" s="338"/>
      <c r="M15" s="339"/>
      <c r="Q15" s="1" t="s">
        <v>95</v>
      </c>
      <c r="R15" s="92" t="s">
        <v>123</v>
      </c>
    </row>
    <row r="16" spans="1:18" ht="14.5" x14ac:dyDescent="0.3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104</v>
      </c>
      <c r="R16" s="92" t="s">
        <v>124</v>
      </c>
    </row>
    <row r="17" spans="1:18" ht="14.5" x14ac:dyDescent="0.3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105</v>
      </c>
      <c r="R17" s="92" t="s">
        <v>125</v>
      </c>
    </row>
    <row r="18" spans="1:18" ht="14.5" x14ac:dyDescent="0.3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ht="14.5" x14ac:dyDescent="0.3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ht="14.5" x14ac:dyDescent="0.3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35">
      <c r="A21" s="337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Freedom høyde 20 cm bredde 19 cm lengde 110 cm (Type 2)</v>
      </c>
      <c r="B21" s="338"/>
      <c r="C21" s="337"/>
      <c r="D21" s="339"/>
      <c r="E21" s="338"/>
      <c r="F21" s="338"/>
      <c r="G21" s="338"/>
      <c r="H21" s="338"/>
      <c r="I21" s="338"/>
      <c r="J21" s="337"/>
      <c r="K21" s="338"/>
      <c r="L21" s="338"/>
      <c r="M21" s="339"/>
    </row>
    <row r="22" spans="1:18" ht="14.5" x14ac:dyDescent="0.3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ht="14.5" x14ac:dyDescent="0.3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ht="14.5" x14ac:dyDescent="0.3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ht="14.5" x14ac:dyDescent="0.3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ht="14.5" x14ac:dyDescent="0.3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35">
      <c r="A27" s="337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Freedom høyde 20 cm bredde 19 cm lengde 145 cm (Type 3)</v>
      </c>
      <c r="B27" s="338"/>
      <c r="C27" s="337"/>
      <c r="D27" s="339"/>
      <c r="E27" s="338"/>
      <c r="F27" s="338"/>
      <c r="G27" s="338"/>
      <c r="H27" s="338"/>
      <c r="I27" s="338"/>
      <c r="J27" s="337"/>
      <c r="K27" s="338"/>
      <c r="L27" s="338"/>
      <c r="M27" s="339"/>
    </row>
    <row r="28" spans="1:18" ht="14.5" x14ac:dyDescent="0.3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ht="14.5" x14ac:dyDescent="0.3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ht="14.5" x14ac:dyDescent="0.3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ht="14.5" x14ac:dyDescent="0.3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ht="14.5" x14ac:dyDescent="0.3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35">
      <c r="A33" s="337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Freedom høyde 20 cm bredde 19 cm lengde 181 cm (Type 4)</v>
      </c>
      <c r="B33" s="338"/>
      <c r="C33" s="337"/>
      <c r="D33" s="339"/>
      <c r="E33" s="338"/>
      <c r="F33" s="338"/>
      <c r="G33" s="338"/>
      <c r="H33" s="338"/>
      <c r="I33" s="338"/>
      <c r="J33" s="337"/>
      <c r="K33" s="338"/>
      <c r="L33" s="338"/>
      <c r="M33" s="339"/>
    </row>
    <row r="34" spans="1:13" ht="14.5" x14ac:dyDescent="0.3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ht="14.5" x14ac:dyDescent="0.3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ht="14.5" x14ac:dyDescent="0.3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ht="14.5" x14ac:dyDescent="0.3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ht="14.5" x14ac:dyDescent="0.3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35">
      <c r="A39" s="337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Freedom høyde 0 cm bredde 0 cm lengde 0 cm (Type 5)</v>
      </c>
      <c r="B39" s="338"/>
      <c r="C39" s="337"/>
      <c r="D39" s="339"/>
      <c r="E39" s="338"/>
      <c r="F39" s="338"/>
      <c r="G39" s="338"/>
      <c r="H39" s="338"/>
      <c r="I39" s="338"/>
      <c r="J39" s="337"/>
      <c r="K39" s="338"/>
      <c r="L39" s="338"/>
      <c r="M39" s="339"/>
    </row>
    <row r="40" spans="1:13" ht="15" customHeight="1" x14ac:dyDescent="0.3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3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3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3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3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ht="14.5" x14ac:dyDescent="0.35">
      <c r="A45" s="337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Freedom høyde 0 cm bredde 0 cm lengde 0 cm (Type 6)</v>
      </c>
      <c r="B45" s="338"/>
      <c r="C45" s="337"/>
      <c r="D45" s="339"/>
      <c r="E45" s="338"/>
      <c r="F45" s="338"/>
      <c r="G45" s="338"/>
      <c r="H45" s="338"/>
      <c r="I45" s="338"/>
      <c r="J45" s="337"/>
      <c r="K45" s="338"/>
      <c r="L45" s="338"/>
      <c r="M45" s="339"/>
    </row>
    <row r="46" spans="1:13" ht="15" customHeight="1" x14ac:dyDescent="0.3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3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3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3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3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35">
      <c r="A51" s="337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Freedom høyde 0 cm bredde 0 cm lengde 0 cm (Type 7)</v>
      </c>
      <c r="B51" s="338"/>
      <c r="C51" s="337"/>
      <c r="D51" s="339"/>
      <c r="E51" s="338"/>
      <c r="F51" s="338"/>
      <c r="G51" s="338"/>
      <c r="H51" s="338"/>
      <c r="I51" s="338"/>
      <c r="J51" s="337"/>
      <c r="K51" s="338"/>
      <c r="L51" s="338"/>
      <c r="M51" s="339"/>
    </row>
    <row r="52" spans="1:13" ht="15" customHeight="1" x14ac:dyDescent="0.3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3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3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3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3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35">
      <c r="A57" s="337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Freedom høyde 0 cm bredde 0 cm lengde 0 cm (Type 8)</v>
      </c>
      <c r="B57" s="338"/>
      <c r="C57" s="337"/>
      <c r="D57" s="339"/>
      <c r="E57" s="338"/>
      <c r="F57" s="338"/>
      <c r="G57" s="338"/>
      <c r="H57" s="338"/>
      <c r="I57" s="338"/>
      <c r="J57" s="337"/>
      <c r="K57" s="338"/>
      <c r="L57" s="338"/>
      <c r="M57" s="339"/>
    </row>
    <row r="58" spans="1:13" ht="15" customHeight="1" x14ac:dyDescent="0.3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3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3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3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3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35">
      <c r="A63" s="337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Freedom høyde 0 cm bredde 0 cm lengde 0 cm (Type 9)</v>
      </c>
      <c r="B63" s="338"/>
      <c r="C63" s="337"/>
      <c r="D63" s="339"/>
      <c r="E63" s="338"/>
      <c r="F63" s="338"/>
      <c r="G63" s="338"/>
      <c r="H63" s="338"/>
      <c r="I63" s="338"/>
      <c r="J63" s="337"/>
      <c r="K63" s="338"/>
      <c r="L63" s="338"/>
      <c r="M63" s="339"/>
    </row>
    <row r="64" spans="1:13" ht="15" customHeight="1" x14ac:dyDescent="0.3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3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3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3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3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5" customHeight="1" x14ac:dyDescent="0.35">
      <c r="A69" s="6" t="s">
        <v>60</v>
      </c>
      <c r="L69" s="47"/>
      <c r="M69" s="45" t="str">
        <f>cal!N70</f>
        <v>v2022-08-26</v>
      </c>
    </row>
    <row r="70" spans="1:13" ht="9.65" customHeight="1" x14ac:dyDescent="0.35">
      <c r="A70" s="6" t="s">
        <v>40</v>
      </c>
    </row>
    <row r="71" spans="1:13" ht="9.65" customHeight="1" x14ac:dyDescent="0.35">
      <c r="A71" s="6" t="s">
        <v>41</v>
      </c>
    </row>
  </sheetData>
  <sheetProtection selectLockedCells="1"/>
  <mergeCells count="21">
    <mergeCell ref="L8:M8"/>
    <mergeCell ref="L6:M6"/>
    <mergeCell ref="L7:M7"/>
    <mergeCell ref="F11:H11"/>
    <mergeCell ref="F10:I10"/>
    <mergeCell ref="A51:M51"/>
    <mergeCell ref="A57:M57"/>
    <mergeCell ref="A63:M63"/>
    <mergeCell ref="G3:J3"/>
    <mergeCell ref="G4:J4"/>
    <mergeCell ref="A15:M15"/>
    <mergeCell ref="A21:M21"/>
    <mergeCell ref="A27:M27"/>
    <mergeCell ref="A33:M33"/>
    <mergeCell ref="A39:M39"/>
    <mergeCell ref="A45:M45"/>
    <mergeCell ref="A8:C8"/>
    <mergeCell ref="F8:I8"/>
    <mergeCell ref="A9:C9"/>
    <mergeCell ref="F9:I9"/>
    <mergeCell ref="A10:C10"/>
  </mergeCells>
  <dataValidations count="7">
    <dataValidation type="decimal" errorStyle="information" allowBlank="1" showErrorMessage="1" error="Eingabe außerhalb des gültigen Bereichs." prompt="20°C bis 35°C" sqref="J11" xr:uid="{00000000-0002-0000-06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J8" xr:uid="{00000000-0002-0000-06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J9" xr:uid="{00000000-0002-0000-0600-000002000000}">
      <formula1>J8</formula1>
      <formula2>J10</formula2>
    </dataValidation>
    <dataValidation type="whole" errorStyle="information" allowBlank="1" showErrorMessage="1" error="Temperatur außerhalb des gütligen Bereichs." prompt="Eingabe zwischen 30°C bis 95°C" sqref="D8" xr:uid="{00000000-0002-0000-06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D9" xr:uid="{00000000-0002-0000-0600-000004000000}">
      <formula1>D10</formula1>
      <formula2>D8</formula2>
    </dataValidation>
    <dataValidation type="whole" errorStyle="information" allowBlank="1" showErrorMessage="1" error="Eingabe außerhalb des gültigen Bereichs." prompt="Eingabe zwischen 16°C bis 30°C" sqref="D10" xr:uid="{00000000-0002-0000-0600-000005000000}">
      <formula1>16</formula1>
      <formula2>30</formula2>
    </dataValidation>
    <dataValidation type="whole" errorStyle="information" allowBlank="1" showErrorMessage="1" error="Eingabe außerhalb des gültigen Bereichs." prompt="20°C bis 35°C" sqref="J10" xr:uid="{00000000-0002-0000-0600-000006000000}">
      <formula1>20</formula1>
      <formula2>35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/>
  <dimension ref="A1:R71"/>
  <sheetViews>
    <sheetView zoomScaleNormal="100" workbookViewId="0">
      <selection activeCell="G6" sqref="G6:J6"/>
    </sheetView>
  </sheetViews>
  <sheetFormatPr defaultColWidth="11.453125" defaultRowHeight="15" customHeight="1" x14ac:dyDescent="0.35"/>
  <cols>
    <col min="1" max="1" width="7" style="1" customWidth="1"/>
    <col min="2" max="2" width="6.1796875" style="1" customWidth="1"/>
    <col min="3" max="3" width="7" style="1" customWidth="1"/>
    <col min="4" max="4" width="6.7265625" style="1" customWidth="1"/>
    <col min="5" max="15" width="7" style="1" customWidth="1"/>
    <col min="16" max="16384" width="11.453125" style="1"/>
  </cols>
  <sheetData>
    <row r="1" spans="1:18" ht="14.5" x14ac:dyDescent="0.35">
      <c r="A1" s="21"/>
    </row>
    <row r="2" spans="1:18" ht="14.5" x14ac:dyDescent="0.35">
      <c r="A2" s="159" t="s">
        <v>144</v>
      </c>
      <c r="B2" s="22"/>
    </row>
    <row r="3" spans="1:18" ht="14.5" x14ac:dyDescent="0.35">
      <c r="A3" s="21"/>
      <c r="G3" s="369"/>
      <c r="H3" s="370"/>
      <c r="I3" s="370"/>
      <c r="J3" s="371"/>
    </row>
    <row r="4" spans="1:18" ht="14.5" x14ac:dyDescent="0.35">
      <c r="A4" s="28" t="s">
        <v>31</v>
      </c>
      <c r="G4" s="369"/>
      <c r="H4" s="370"/>
      <c r="I4" s="370"/>
      <c r="J4" s="371"/>
    </row>
    <row r="5" spans="1:18" ht="6" customHeight="1" thickBot="1" x14ac:dyDescent="0.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thickBot="1" x14ac:dyDescent="0.4">
      <c r="A6" s="158" t="s">
        <v>152</v>
      </c>
      <c r="B6" s="97"/>
      <c r="C6" s="97"/>
      <c r="D6" s="7"/>
      <c r="E6" s="7"/>
      <c r="F6" s="7"/>
      <c r="G6" s="7"/>
      <c r="H6" s="7"/>
      <c r="I6" s="7"/>
      <c r="J6" s="7"/>
      <c r="K6" s="7"/>
      <c r="L6" s="365" t="s">
        <v>143</v>
      </c>
      <c r="M6" s="366"/>
    </row>
    <row r="7" spans="1:18" thickBot="1" x14ac:dyDescent="0.4">
      <c r="A7" s="158" t="s">
        <v>153</v>
      </c>
      <c r="B7" s="97"/>
      <c r="C7" s="97"/>
      <c r="D7" s="7"/>
      <c r="E7" s="7"/>
      <c r="F7" s="98" t="s">
        <v>157</v>
      </c>
      <c r="G7" s="8"/>
      <c r="H7" s="8"/>
      <c r="I7" s="7"/>
      <c r="J7" s="7"/>
      <c r="K7" s="7"/>
      <c r="L7" s="367"/>
      <c r="M7" s="368"/>
      <c r="Q7" s="1" t="s">
        <v>177</v>
      </c>
    </row>
    <row r="8" spans="1:18" thickBot="1" x14ac:dyDescent="0.4">
      <c r="A8" s="372" t="s">
        <v>154</v>
      </c>
      <c r="B8" s="373">
        <v>0</v>
      </c>
      <c r="C8" s="373">
        <v>0</v>
      </c>
      <c r="D8" s="62">
        <f>cal!E9</f>
        <v>75</v>
      </c>
      <c r="E8" s="48" t="str">
        <f>IF(cal!$X$4=1,"°C",IF(cal!$X$4=2,"°F"))</f>
        <v>°C</v>
      </c>
      <c r="F8" s="362" t="str">
        <f>A8</f>
        <v>Agua impulsión</v>
      </c>
      <c r="G8" s="362"/>
      <c r="H8" s="362"/>
      <c r="I8" s="362"/>
      <c r="J8" s="62">
        <f>cal!K9</f>
        <v>16</v>
      </c>
      <c r="K8" s="7" t="str">
        <f>E8</f>
        <v>°C</v>
      </c>
      <c r="L8" s="363" t="s">
        <v>117</v>
      </c>
      <c r="M8" s="364"/>
      <c r="Q8" s="1" t="s">
        <v>178</v>
      </c>
    </row>
    <row r="9" spans="1:18" thickTop="1" x14ac:dyDescent="0.35">
      <c r="A9" s="372" t="s">
        <v>155</v>
      </c>
      <c r="B9" s="373">
        <v>0</v>
      </c>
      <c r="C9" s="373">
        <v>0</v>
      </c>
      <c r="D9" s="62">
        <f>cal!E10</f>
        <v>65</v>
      </c>
      <c r="E9" s="48" t="str">
        <f>E8</f>
        <v>°C</v>
      </c>
      <c r="F9" s="362" t="str">
        <f>A9</f>
        <v>Agua retorno</v>
      </c>
      <c r="G9" s="362"/>
      <c r="H9" s="362"/>
      <c r="I9" s="362"/>
      <c r="J9" s="62">
        <f>cal!K10</f>
        <v>18</v>
      </c>
      <c r="K9" s="7" t="str">
        <f>E8</f>
        <v>°C</v>
      </c>
      <c r="L9" s="7"/>
      <c r="M9" s="13"/>
      <c r="Q9" s="1" t="s">
        <v>179</v>
      </c>
    </row>
    <row r="10" spans="1:18" ht="14.5" x14ac:dyDescent="0.35">
      <c r="A10" s="372" t="s">
        <v>156</v>
      </c>
      <c r="B10" s="373">
        <v>0</v>
      </c>
      <c r="C10" s="373">
        <v>0</v>
      </c>
      <c r="D10" s="62">
        <f>cal!E11</f>
        <v>20</v>
      </c>
      <c r="E10" s="48" t="str">
        <f>E8</f>
        <v>°C</v>
      </c>
      <c r="F10" s="362" t="str">
        <f>A10</f>
        <v>Ambiente (bulbo seco)</v>
      </c>
      <c r="G10" s="362"/>
      <c r="H10" s="362"/>
      <c r="I10" s="362"/>
      <c r="J10" s="62">
        <f>cal!K11</f>
        <v>27</v>
      </c>
      <c r="K10" s="7" t="str">
        <f>E8</f>
        <v>°C</v>
      </c>
      <c r="L10" s="7"/>
      <c r="M10" s="13"/>
    </row>
    <row r="11" spans="1:18" ht="14.5" x14ac:dyDescent="0.35">
      <c r="A11" s="14"/>
      <c r="B11" s="7"/>
      <c r="C11" s="7"/>
      <c r="D11" s="7"/>
      <c r="E11" s="7"/>
      <c r="F11" s="362" t="s">
        <v>151</v>
      </c>
      <c r="G11" s="362"/>
      <c r="H11" s="362"/>
      <c r="I11" s="7"/>
      <c r="J11" s="50">
        <f>cal!K12</f>
        <v>0.5</v>
      </c>
      <c r="K11" s="7"/>
      <c r="L11" s="7"/>
      <c r="M11" s="13"/>
    </row>
    <row r="12" spans="1:18" ht="6" customHeight="1" x14ac:dyDescent="0.3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ht="14.5" x14ac:dyDescent="0.3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35">
      <c r="A14" s="153" t="s">
        <v>112</v>
      </c>
      <c r="B14" s="154" t="s">
        <v>113</v>
      </c>
      <c r="C14" s="153" t="str">
        <f>CONCATENATE("Emisión calefacción * ",ROUND(D8,0),"/",ROUND(D9,0),"/",ROUND(D10,0)," ["&amp;IF(cal!$X$4=1,"W",IF(cal!$X$4=2,"Btu/h"))&amp;"]")</f>
        <v>Emisión calefacción * 75/65/20 [W]</v>
      </c>
      <c r="D14" s="155" t="str">
        <f>"Caudal de agua, calefacción ["&amp;IF(cal!$X$4=1,"l/h",IF(cal!$X$4=2,"GPM"))&amp;"]"</f>
        <v>Caudal de agua, calefacción [l/h]</v>
      </c>
      <c r="E14" s="156" t="str">
        <f>"Pérdida de carga del agua ["&amp;IF(cal!$X$4=1,"kPa",IF(cal!$X$4=2,"ftH2O"))&amp;"]"</f>
        <v>Pérdida de carga del agua [kPa]</v>
      </c>
      <c r="F14" s="154" t="str">
        <f>CONCATENATE("Emisión sensible Frío * ",ROUND(J8,0),"/",ROUND(J9,0),"/",ROUND(J10,0)," ["&amp;IF(cal!$X$4=1,"W",IF(cal!$X$4=2,"Btu/h"))&amp;"]")</f>
        <v>Emisión sensible Frío * 16/18/27 [W]</v>
      </c>
      <c r="G14" s="154" t="str">
        <f>CONCATENATE("Emisión total Frío * ",ROUND(J8,0),"/",ROUND(J9,0),"/",ROUND(J10,0)," ["&amp;IF(cal!$X$4=1,"W",IF(cal!$X$4=2,"Btu/h"))&amp;"]")</f>
        <v>Emisión total Frío * 16/18/27 [W]</v>
      </c>
      <c r="H14" s="154" t="str">
        <f>"Caudal de agua, calefacción ["&amp;IF(cal!$X$4=1,"l/h",IF(cal!$X$4=2,"GPM"))&amp;"]"</f>
        <v>Caudal de agua, calefacción [l/h]</v>
      </c>
      <c r="I14" s="154" t="str">
        <f>E14</f>
        <v>Pérdida de carga del agua [kPa]</v>
      </c>
      <c r="J14" s="153" t="s">
        <v>114</v>
      </c>
      <c r="K14" s="157" t="s">
        <v>115</v>
      </c>
      <c r="L14" s="154" t="s">
        <v>116</v>
      </c>
      <c r="M14" s="156" t="str">
        <f>"Caudal de aire ["&amp;IF(cal!$X$4=1,"m³/h",IF(cal!$X$4=2,"CFM"))&amp;"]"</f>
        <v>Caudal de aire [m³/h]</v>
      </c>
      <c r="N14" s="195" t="str">
        <f>"Temperatura salida de aire calefacción ["&amp;IF(cal!$X$4=1,"°C",IF(cal!$X$4=2,"°F"))&amp;"]"</f>
        <v>Temperatura salida de aire calefacción [°C]</v>
      </c>
      <c r="O14" s="196" t="str">
        <f>"Temperatura salida de aire refrigeración ["&amp;IF(cal!$X$4=1,"°C",IF(cal!$X$4=2,"°F"))&amp;"]"</f>
        <v>Temperatura salida de aire refrigeración [°C]</v>
      </c>
    </row>
    <row r="15" spans="1:18" ht="18" customHeight="1" x14ac:dyDescent="0.35">
      <c r="A15" s="337" t="str">
        <f>cal!$Z$1&amp;"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(Type 1)"</f>
        <v>Freedom altura 20 cm ancho 19 cm longitud 74 cm (Type 1)</v>
      </c>
      <c r="B15" s="338"/>
      <c r="C15" s="337"/>
      <c r="D15" s="339"/>
      <c r="E15" s="338"/>
      <c r="F15" s="338"/>
      <c r="G15" s="338"/>
      <c r="H15" s="338"/>
      <c r="I15" s="338"/>
      <c r="J15" s="337"/>
      <c r="K15" s="338"/>
      <c r="L15" s="338"/>
      <c r="M15" s="339"/>
      <c r="Q15" s="92" t="s">
        <v>95</v>
      </c>
      <c r="R15" s="92" t="s">
        <v>120</v>
      </c>
    </row>
    <row r="16" spans="1:18" ht="14.5" x14ac:dyDescent="0.3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92" t="s">
        <v>118</v>
      </c>
      <c r="R16" s="92" t="s">
        <v>121</v>
      </c>
    </row>
    <row r="17" spans="1:18" ht="14.5" x14ac:dyDescent="0.3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92" t="s">
        <v>119</v>
      </c>
      <c r="R17" s="92" t="s">
        <v>122</v>
      </c>
    </row>
    <row r="18" spans="1:18" ht="14.5" x14ac:dyDescent="0.3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ht="14.5" x14ac:dyDescent="0.3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ht="14.5" x14ac:dyDescent="0.3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35">
      <c r="A21" s="337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(Type 2)"</f>
        <v>Freedom altura 20 cm ancho 19 cm longitud 110 cm (Type 2)</v>
      </c>
      <c r="B21" s="338"/>
      <c r="C21" s="337"/>
      <c r="D21" s="339"/>
      <c r="E21" s="338"/>
      <c r="F21" s="338"/>
      <c r="G21" s="338"/>
      <c r="H21" s="338"/>
      <c r="I21" s="338"/>
      <c r="J21" s="337"/>
      <c r="K21" s="338"/>
      <c r="L21" s="338"/>
      <c r="M21" s="339"/>
    </row>
    <row r="22" spans="1:18" ht="14.5" x14ac:dyDescent="0.3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ht="14.5" x14ac:dyDescent="0.3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ht="14.5" x14ac:dyDescent="0.3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ht="14.5" x14ac:dyDescent="0.3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ht="14.5" x14ac:dyDescent="0.3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35">
      <c r="A27" s="337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(Type 3)"</f>
        <v>Freedom altura 20 cm ancho 19 cm longitud 145 cm (Type 3)</v>
      </c>
      <c r="B27" s="338"/>
      <c r="C27" s="337"/>
      <c r="D27" s="339"/>
      <c r="E27" s="338"/>
      <c r="F27" s="338"/>
      <c r="G27" s="338"/>
      <c r="H27" s="338"/>
      <c r="I27" s="338"/>
      <c r="J27" s="337"/>
      <c r="K27" s="338"/>
      <c r="L27" s="338"/>
      <c r="M27" s="339"/>
    </row>
    <row r="28" spans="1:18" ht="14.5" x14ac:dyDescent="0.3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ht="14.5" x14ac:dyDescent="0.3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ht="14.5" x14ac:dyDescent="0.3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ht="14.5" x14ac:dyDescent="0.3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ht="14.5" x14ac:dyDescent="0.3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35">
      <c r="A33" s="337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(Type 4)"</f>
        <v>Freedom altura 20 cm ancho 19 cm longitud 181 cm (Type 4)</v>
      </c>
      <c r="B33" s="338"/>
      <c r="C33" s="337"/>
      <c r="D33" s="339"/>
      <c r="E33" s="338"/>
      <c r="F33" s="338"/>
      <c r="G33" s="338"/>
      <c r="H33" s="338"/>
      <c r="I33" s="338"/>
      <c r="J33" s="337"/>
      <c r="K33" s="338"/>
      <c r="L33" s="338"/>
      <c r="M33" s="339"/>
    </row>
    <row r="34" spans="1:13" ht="14.5" x14ac:dyDescent="0.3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ht="14.5" x14ac:dyDescent="0.3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ht="14.5" x14ac:dyDescent="0.3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ht="14.5" x14ac:dyDescent="0.3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ht="14.5" x14ac:dyDescent="0.3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35">
      <c r="A39" s="337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(Type 5)"</f>
        <v>Freedom altura 0 cm ancho 0 cm longitud 0 cm (Type 5)</v>
      </c>
      <c r="B39" s="338"/>
      <c r="C39" s="337"/>
      <c r="D39" s="339"/>
      <c r="E39" s="338"/>
      <c r="F39" s="338"/>
      <c r="G39" s="338"/>
      <c r="H39" s="338"/>
      <c r="I39" s="338"/>
      <c r="J39" s="337"/>
      <c r="K39" s="338"/>
      <c r="L39" s="338"/>
      <c r="M39" s="339"/>
    </row>
    <row r="40" spans="1:13" ht="15" customHeight="1" x14ac:dyDescent="0.3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3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3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3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3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ht="14.5" x14ac:dyDescent="0.35">
      <c r="A45" s="337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(Type 6)"</f>
        <v>Freedom altura 0 cm ancho 0 cm longitud 0 cm (Type 6)</v>
      </c>
      <c r="B45" s="338"/>
      <c r="C45" s="337"/>
      <c r="D45" s="339"/>
      <c r="E45" s="338"/>
      <c r="F45" s="338"/>
      <c r="G45" s="338"/>
      <c r="H45" s="338"/>
      <c r="I45" s="338"/>
      <c r="J45" s="337"/>
      <c r="K45" s="338"/>
      <c r="L45" s="338"/>
      <c r="M45" s="339"/>
    </row>
    <row r="46" spans="1:13" ht="15" customHeight="1" x14ac:dyDescent="0.3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3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3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3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3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35">
      <c r="A51" s="337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(Type 7)"</f>
        <v>Freedom altura 0 cm ancho 0 cm longitud 0 cm (Type 7)</v>
      </c>
      <c r="B51" s="338"/>
      <c r="C51" s="337"/>
      <c r="D51" s="339"/>
      <c r="E51" s="338"/>
      <c r="F51" s="338"/>
      <c r="G51" s="338"/>
      <c r="H51" s="338"/>
      <c r="I51" s="338"/>
      <c r="J51" s="337"/>
      <c r="K51" s="338"/>
      <c r="L51" s="338"/>
      <c r="M51" s="339"/>
    </row>
    <row r="52" spans="1:13" ht="15" customHeight="1" x14ac:dyDescent="0.3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3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3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3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3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35">
      <c r="A57" s="337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(Type 8)"</f>
        <v>Freedom altura 0 cm ancho 0 cm longitud 0 cm (Type 8)</v>
      </c>
      <c r="B57" s="338"/>
      <c r="C57" s="337"/>
      <c r="D57" s="339"/>
      <c r="E57" s="338"/>
      <c r="F57" s="338"/>
      <c r="G57" s="338"/>
      <c r="H57" s="338"/>
      <c r="I57" s="338"/>
      <c r="J57" s="337"/>
      <c r="K57" s="338"/>
      <c r="L57" s="338"/>
      <c r="M57" s="339"/>
    </row>
    <row r="58" spans="1:13" ht="15" customHeight="1" x14ac:dyDescent="0.3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3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3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3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3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35">
      <c r="A63" s="337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(Type 9)"</f>
        <v>Freedom altura 0 cm ancho 0 cm longitud 0 cm (Type 9)</v>
      </c>
      <c r="B63" s="338"/>
      <c r="C63" s="337"/>
      <c r="D63" s="339"/>
      <c r="E63" s="338"/>
      <c r="F63" s="338"/>
      <c r="G63" s="338"/>
      <c r="H63" s="338"/>
      <c r="I63" s="338"/>
      <c r="J63" s="337"/>
      <c r="K63" s="338"/>
      <c r="L63" s="338"/>
      <c r="M63" s="339"/>
    </row>
    <row r="64" spans="1:13" ht="15" customHeight="1" x14ac:dyDescent="0.3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3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3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3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3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5" customHeight="1" x14ac:dyDescent="0.35">
      <c r="A69" s="6" t="s">
        <v>159</v>
      </c>
      <c r="L69" s="47"/>
      <c r="M69" s="45" t="str">
        <f>cal!N70</f>
        <v>v2022-08-26</v>
      </c>
    </row>
    <row r="70" spans="1:13" ht="9.65" customHeight="1" x14ac:dyDescent="0.35">
      <c r="A70" s="6" t="s">
        <v>160</v>
      </c>
    </row>
    <row r="71" spans="1:13" ht="9.65" customHeight="1" x14ac:dyDescent="0.35">
      <c r="A71" s="6" t="s">
        <v>161</v>
      </c>
    </row>
  </sheetData>
  <sheetProtection selectLockedCells="1"/>
  <mergeCells count="21">
    <mergeCell ref="A39:M39"/>
    <mergeCell ref="A45:M45"/>
    <mergeCell ref="A51:M51"/>
    <mergeCell ref="A57:M57"/>
    <mergeCell ref="A63:M63"/>
    <mergeCell ref="A15:M15"/>
    <mergeCell ref="A21:M21"/>
    <mergeCell ref="A27:M27"/>
    <mergeCell ref="A33:M33"/>
    <mergeCell ref="G3:J3"/>
    <mergeCell ref="G4:J4"/>
    <mergeCell ref="A8:C8"/>
    <mergeCell ref="F8:I8"/>
    <mergeCell ref="L8:M8"/>
    <mergeCell ref="A9:C9"/>
    <mergeCell ref="F9:I9"/>
    <mergeCell ref="L6:M6"/>
    <mergeCell ref="L7:M7"/>
    <mergeCell ref="F11:H11"/>
    <mergeCell ref="A10:C10"/>
    <mergeCell ref="F10:I10"/>
  </mergeCells>
  <dataValidations count="7">
    <dataValidation type="whole" errorStyle="information" allowBlank="1" showErrorMessage="1" error="Eingabe außerhalb des gültigen Bereichs." prompt="20°C bis 35°C" sqref="J10" xr:uid="{00000000-0002-0000-07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D10" xr:uid="{00000000-0002-0000-07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D9" xr:uid="{00000000-0002-0000-0700-000002000000}">
      <formula1>D10</formula1>
      <formula2>D8</formula2>
    </dataValidation>
    <dataValidation type="whole" errorStyle="information" allowBlank="1" showErrorMessage="1" error="Temperatur außerhalb des gütligen Bereichs." prompt="Eingabe zwischen 30°C bis 95°C" sqref="D8" xr:uid="{00000000-0002-0000-07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J9" xr:uid="{00000000-0002-0000-0700-000004000000}">
      <formula1>J8</formula1>
      <formula2>J10</formula2>
    </dataValidation>
    <dataValidation type="whole" errorStyle="information" allowBlank="1" showErrorMessage="1" error="Eingabe außerhalb des gültigen Bereichs." prompt="Eingabe zwischen 5°C bis 20°C" sqref="J8" xr:uid="{00000000-0002-0000-0700-000005000000}">
      <formula1>5</formula1>
      <formula2>20</formula2>
    </dataValidation>
    <dataValidation type="decimal" errorStyle="information" allowBlank="1" showErrorMessage="1" error="Eingabe außerhalb des gültigen Bereichs." prompt="20°C bis 35°C" sqref="J11" xr:uid="{00000000-0002-0000-0700-000006000000}">
      <formula1>0.01</formula1>
      <formula2>1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/>
  <dimension ref="A1:R71"/>
  <sheetViews>
    <sheetView topLeftCell="C1" workbookViewId="0">
      <selection activeCell="G6" sqref="G6:J6"/>
    </sheetView>
  </sheetViews>
  <sheetFormatPr defaultColWidth="11.453125" defaultRowHeight="14.5" x14ac:dyDescent="0.35"/>
  <cols>
    <col min="1" max="1" width="7" style="1" customWidth="1"/>
    <col min="2" max="2" width="6.1796875" style="1" customWidth="1"/>
    <col min="3" max="3" width="7" style="1" customWidth="1"/>
    <col min="4" max="4" width="6.7265625" style="1" customWidth="1"/>
    <col min="5" max="15" width="7" style="1" customWidth="1"/>
    <col min="16" max="16384" width="11.453125" style="1"/>
  </cols>
  <sheetData>
    <row r="1" spans="1:18" x14ac:dyDescent="0.35">
      <c r="A1" s="21"/>
    </row>
    <row r="2" spans="1:18" x14ac:dyDescent="0.35">
      <c r="A2" s="23" t="s">
        <v>33</v>
      </c>
      <c r="B2" s="22"/>
    </row>
    <row r="3" spans="1:18" x14ac:dyDescent="0.35">
      <c r="A3" s="21"/>
    </row>
    <row r="4" spans="1:18" x14ac:dyDescent="0.35">
      <c r="A4" s="28" t="s">
        <v>31</v>
      </c>
    </row>
    <row r="5" spans="1:18" ht="6" customHeight="1" thickBot="1" x14ac:dyDescent="0.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8" ht="15" thickBot="1" x14ac:dyDescent="0.4">
      <c r="A6" s="12" t="s">
        <v>91</v>
      </c>
      <c r="B6" s="7"/>
      <c r="C6" s="7"/>
      <c r="D6" s="7"/>
      <c r="E6" s="7"/>
      <c r="F6" s="7"/>
      <c r="G6" s="7"/>
      <c r="H6" s="7"/>
      <c r="I6" s="7"/>
      <c r="J6" s="7"/>
      <c r="K6" s="7"/>
      <c r="L6" s="365" t="s">
        <v>180</v>
      </c>
      <c r="M6" s="366"/>
    </row>
    <row r="7" spans="1:18" ht="15" thickBot="1" x14ac:dyDescent="0.4">
      <c r="A7" s="12" t="s">
        <v>181</v>
      </c>
      <c r="B7" s="7"/>
      <c r="C7" s="7"/>
      <c r="D7" s="7"/>
      <c r="E7" s="7"/>
      <c r="F7" s="98" t="s">
        <v>185</v>
      </c>
      <c r="G7" s="8"/>
      <c r="H7" s="8"/>
      <c r="I7" s="7"/>
      <c r="J7" s="7"/>
      <c r="K7" s="7"/>
      <c r="L7" s="367"/>
      <c r="M7" s="368"/>
      <c r="Q7" s="1" t="s">
        <v>203</v>
      </c>
    </row>
    <row r="8" spans="1:18" ht="15" thickBot="1" x14ac:dyDescent="0.4">
      <c r="A8" s="268" t="s">
        <v>182</v>
      </c>
      <c r="B8" s="48"/>
      <c r="C8" s="48"/>
      <c r="D8" s="62">
        <f>cal!E9</f>
        <v>75</v>
      </c>
      <c r="E8" s="48" t="str">
        <f>IF(cal!$X$4=1,"°C",IF(cal!$X$4=2,"°F"))</f>
        <v>°C</v>
      </c>
      <c r="F8" s="362" t="str">
        <f>A8</f>
        <v>Tillopp</v>
      </c>
      <c r="G8" s="362"/>
      <c r="H8" s="362"/>
      <c r="I8" s="362"/>
      <c r="J8" s="62">
        <f>cal!K9</f>
        <v>16</v>
      </c>
      <c r="K8" s="7" t="str">
        <f>E8</f>
        <v>°C</v>
      </c>
      <c r="L8" s="363" t="s">
        <v>111</v>
      </c>
      <c r="M8" s="364"/>
      <c r="Q8" s="1" t="s">
        <v>175</v>
      </c>
    </row>
    <row r="9" spans="1:18" ht="15" thickTop="1" x14ac:dyDescent="0.35">
      <c r="A9" s="268" t="s">
        <v>183</v>
      </c>
      <c r="B9" s="48"/>
      <c r="C9" s="48"/>
      <c r="D9" s="62">
        <f>cal!E10</f>
        <v>65</v>
      </c>
      <c r="E9" s="48" t="str">
        <f>E8</f>
        <v>°C</v>
      </c>
      <c r="F9" s="362" t="str">
        <f>A9</f>
        <v>Retur</v>
      </c>
      <c r="G9" s="362"/>
      <c r="H9" s="362"/>
      <c r="I9" s="362"/>
      <c r="J9" s="62">
        <f>cal!K10</f>
        <v>18</v>
      </c>
      <c r="K9" s="7" t="str">
        <f>E8</f>
        <v>°C</v>
      </c>
      <c r="L9" s="7"/>
      <c r="M9" s="13"/>
      <c r="Q9" s="1" t="s">
        <v>204</v>
      </c>
    </row>
    <row r="10" spans="1:18" x14ac:dyDescent="0.35">
      <c r="A10" s="268" t="s">
        <v>184</v>
      </c>
      <c r="B10" s="48"/>
      <c r="C10" s="48"/>
      <c r="D10" s="62">
        <f>cal!E11</f>
        <v>20</v>
      </c>
      <c r="E10" s="48" t="str">
        <f>E8</f>
        <v>°C</v>
      </c>
      <c r="F10" s="362" t="str">
        <f>A10</f>
        <v>Rum (torr)</v>
      </c>
      <c r="G10" s="362"/>
      <c r="H10" s="362"/>
      <c r="I10" s="362"/>
      <c r="J10" s="62">
        <f>cal!K11</f>
        <v>27</v>
      </c>
      <c r="K10" s="7" t="str">
        <f>E8</f>
        <v>°C</v>
      </c>
      <c r="L10" s="7"/>
      <c r="M10" s="13"/>
    </row>
    <row r="11" spans="1:18" x14ac:dyDescent="0.35">
      <c r="A11" s="14"/>
      <c r="B11" s="7"/>
      <c r="C11" s="7"/>
      <c r="D11" s="7"/>
      <c r="E11" s="7"/>
      <c r="F11" s="373" t="s">
        <v>186</v>
      </c>
      <c r="G11" s="373"/>
      <c r="H11" s="373"/>
      <c r="I11" s="374"/>
      <c r="J11" s="50">
        <f>cal!K12</f>
        <v>0.5</v>
      </c>
      <c r="K11" s="7"/>
      <c r="L11" s="7"/>
      <c r="M11" s="13"/>
    </row>
    <row r="12" spans="1:18" ht="6" customHeight="1" x14ac:dyDescent="0.35">
      <c r="A12" s="15"/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8"/>
    </row>
    <row r="13" spans="1:18" x14ac:dyDescent="0.3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8" s="2" customFormat="1" ht="95.65" customHeight="1" x14ac:dyDescent="0.35">
      <c r="A14" s="26" t="s">
        <v>187</v>
      </c>
      <c r="B14" s="19" t="s">
        <v>188</v>
      </c>
      <c r="C14" s="26" t="str">
        <f>CONCATENATE("Värme effekt * ",ROUND(D8,0),"/",ROUND(D9,0),"/",ROUND(D10,0)," ["&amp;IF(cal!$X$4=1,"W",IF(cal!$X$4=2,"Btu/h"))&amp;"]")</f>
        <v>Värme effekt * 75/65/20 [W]</v>
      </c>
      <c r="D14" s="29" t="str">
        <f>"Vattenflöde, värme ["&amp;IF(cal!$X$4=1,"l/h",IF(cal!$X$4=2,"GPM"))&amp;"]"</f>
        <v>Vattenflöde, värme [l/h]</v>
      </c>
      <c r="E14" s="32" t="str">
        <f>"Tryckfall, vatten ["&amp;IF(cal!$X$4=1,"kPa",IF(cal!$X$4=2,"inH2O"))&amp;"]"</f>
        <v>Tryckfall, vatten [kPa]</v>
      </c>
      <c r="F14" s="19" t="str">
        <f>CONCATENATE("Märkbar kylkapacitet * ",ROUND(J8,0),"/",ROUND(J9,0),"/",ROUND(J10,0)," ["&amp;IF(cal!$X$4=1,"W",IF(cal!$X$4=2,"Btu/h"))&amp;"]")</f>
        <v>Märkbar kylkapacitet * 16/18/27 [W]</v>
      </c>
      <c r="G14" s="19" t="str">
        <f>CONCATENATE("Total kylkapacitet ",ROUND(J8,0),"/",ROUND(J9,0),"/",ROUND(J10,0)," ["&amp;IF(cal!$X$4=1,"W",IF(cal!$X$4=2,"Btu/h"))&amp;"]")</f>
        <v>Total kylkapacitet 16/18/27 [W]</v>
      </c>
      <c r="H14" s="19" t="str">
        <f>"Vattenflöde, kyla ["&amp;IF(cal!$X$4=1,"l/h",IF(cal!$X$4=2,"GPM"))&amp;"]"</f>
        <v>Vattenflöde, kyla [l/h]</v>
      </c>
      <c r="I14" s="20" t="str">
        <f>E14</f>
        <v>Tryckfall, vatten [kPa]</v>
      </c>
      <c r="J14" s="26" t="s">
        <v>189</v>
      </c>
      <c r="K14" s="31" t="s">
        <v>190</v>
      </c>
      <c r="L14" s="19" t="s">
        <v>191</v>
      </c>
      <c r="M14" s="25" t="str">
        <f>"Luftflöde ["&amp;IF(cal!$X$4=1,"m³/h",IF(cal!$X$4=2,"CFM"))&amp;"]"</f>
        <v>Luftflöde [m³/h]</v>
      </c>
      <c r="N14" s="195" t="str">
        <f>"Air exhaust temp. heating ["&amp;IF(cal!$X$4=1,"°C",IF(cal!$X$4=2,"°F"))&amp;"]"</f>
        <v>Air exhaust temp. heating [°C]</v>
      </c>
      <c r="O14" s="196" t="str">
        <f>"Air exhaust temp. cooling ["&amp;IF(cal!$X$4=1,"°C",IF(cal!$X$4=2,"°F"))&amp;"]"</f>
        <v>Air exhaust temp. cooling [°C]</v>
      </c>
    </row>
    <row r="15" spans="1:18" ht="18" customHeight="1" x14ac:dyDescent="0.35">
      <c r="A15" s="337" t="str">
        <f>cal!$Z$1&amp;" "&amp;$R$15&amp;" "&amp;ROUND(cal!Y22,1)&amp;IF(cal!$X$4=1," cm",IF(cal!$X$4=2," in"))&amp;" "&amp;$R$16&amp;" "&amp;ROUND(cal!AA22,1)&amp;IF(cal!$X$4=1," cm",IF(cal!$X$4=2," in"))&amp;" "&amp;$R$17&amp;" "&amp;ROUND(cal!AC22,1)&amp;IF(cal!$X$4=1," cm",IF(cal!$X$4=2," in"))&amp;" (Typ 1)"</f>
        <v>Freedom höjd 20 cm djup 19 cm längd 74 cm (Typ 1)</v>
      </c>
      <c r="B15" s="338"/>
      <c r="C15" s="337"/>
      <c r="D15" s="339"/>
      <c r="E15" s="338"/>
      <c r="F15" s="338"/>
      <c r="G15" s="338"/>
      <c r="H15" s="338"/>
      <c r="I15" s="338"/>
      <c r="J15" s="337"/>
      <c r="K15" s="338"/>
      <c r="L15" s="338"/>
      <c r="M15" s="339"/>
      <c r="Q15" s="1" t="s">
        <v>95</v>
      </c>
      <c r="R15" s="92" t="s">
        <v>194</v>
      </c>
    </row>
    <row r="16" spans="1:18" x14ac:dyDescent="0.35">
      <c r="A16" s="33"/>
      <c r="B16" s="3"/>
      <c r="C16" s="27"/>
      <c r="D16" s="4"/>
      <c r="E16" s="30"/>
      <c r="F16" s="4"/>
      <c r="G16" s="4"/>
      <c r="H16" s="4"/>
      <c r="I16" s="5"/>
      <c r="J16" s="27"/>
      <c r="K16" s="42"/>
      <c r="L16" s="46"/>
      <c r="M16" s="34"/>
      <c r="Q16" s="1" t="s">
        <v>192</v>
      </c>
      <c r="R16" s="92" t="s">
        <v>195</v>
      </c>
    </row>
    <row r="17" spans="1:18" x14ac:dyDescent="0.35">
      <c r="A17" s="33"/>
      <c r="B17" s="3"/>
      <c r="C17" s="27"/>
      <c r="D17" s="4"/>
      <c r="E17" s="30"/>
      <c r="F17" s="4"/>
      <c r="G17" s="4"/>
      <c r="H17" s="4"/>
      <c r="I17" s="5"/>
      <c r="J17" s="27"/>
      <c r="K17" s="42"/>
      <c r="L17" s="46"/>
      <c r="M17" s="34"/>
      <c r="Q17" s="1" t="s">
        <v>193</v>
      </c>
      <c r="R17" s="92" t="s">
        <v>196</v>
      </c>
    </row>
    <row r="18" spans="1:18" x14ac:dyDescent="0.35">
      <c r="A18" s="33"/>
      <c r="B18" s="3"/>
      <c r="C18" s="27"/>
      <c r="D18" s="4"/>
      <c r="E18" s="30"/>
      <c r="F18" s="4"/>
      <c r="G18" s="4"/>
      <c r="H18" s="4"/>
      <c r="I18" s="5"/>
      <c r="J18" s="27"/>
      <c r="K18" s="42"/>
      <c r="L18" s="46"/>
      <c r="M18" s="34"/>
    </row>
    <row r="19" spans="1:18" x14ac:dyDescent="0.35">
      <c r="A19" s="33"/>
      <c r="B19" s="3"/>
      <c r="C19" s="27"/>
      <c r="D19" s="4"/>
      <c r="E19" s="30"/>
      <c r="F19" s="4"/>
      <c r="G19" s="4"/>
      <c r="H19" s="4"/>
      <c r="I19" s="5"/>
      <c r="J19" s="27"/>
      <c r="K19" s="42"/>
      <c r="L19" s="46"/>
      <c r="M19" s="34"/>
    </row>
    <row r="20" spans="1:18" x14ac:dyDescent="0.35">
      <c r="A20" s="33"/>
      <c r="B20" s="3"/>
      <c r="C20" s="27"/>
      <c r="D20" s="4"/>
      <c r="E20" s="30"/>
      <c r="F20" s="4"/>
      <c r="G20" s="4"/>
      <c r="H20" s="4"/>
      <c r="I20" s="5"/>
      <c r="J20" s="27"/>
      <c r="K20" s="42"/>
      <c r="L20" s="46"/>
      <c r="M20" s="34"/>
    </row>
    <row r="21" spans="1:18" ht="16.899999999999999" customHeight="1" x14ac:dyDescent="0.35">
      <c r="A21" s="337" t="str">
        <f>cal!$Z$1&amp;" "&amp;$R$15&amp;" "&amp;ROUND(cal!Y28,1)&amp;IF(cal!$X$4=1," cm",IF(cal!$X$4=2," in"))&amp;" "&amp;$R$16&amp;" "&amp;ROUND(cal!AA28,1)&amp;IF(cal!$X$4=1," cm",IF(cal!$X$4=2," in"))&amp;" "&amp;$R$17&amp;" "&amp;ROUND(cal!AC28,1)&amp;IF(cal!$X$4=1," cm",IF(cal!$X$4=2," in"))&amp;" (Typ 2)"</f>
        <v>Freedom höjd 20 cm djup 19 cm längd 110 cm (Typ 2)</v>
      </c>
      <c r="B21" s="338"/>
      <c r="C21" s="337"/>
      <c r="D21" s="339"/>
      <c r="E21" s="338"/>
      <c r="F21" s="338"/>
      <c r="G21" s="338"/>
      <c r="H21" s="338"/>
      <c r="I21" s="338"/>
      <c r="J21" s="337"/>
      <c r="K21" s="338"/>
      <c r="L21" s="338"/>
      <c r="M21" s="339"/>
    </row>
    <row r="22" spans="1:18" x14ac:dyDescent="0.35">
      <c r="A22" s="33"/>
      <c r="B22" s="3"/>
      <c r="C22" s="27"/>
      <c r="D22" s="4"/>
      <c r="E22" s="30"/>
      <c r="F22" s="4"/>
      <c r="G22" s="4"/>
      <c r="H22" s="4"/>
      <c r="I22" s="5"/>
      <c r="J22" s="27"/>
      <c r="K22" s="42"/>
      <c r="L22" s="46"/>
      <c r="M22" s="34"/>
    </row>
    <row r="23" spans="1:18" x14ac:dyDescent="0.35">
      <c r="A23" s="33"/>
      <c r="B23" s="3"/>
      <c r="C23" s="27"/>
      <c r="D23" s="4"/>
      <c r="E23" s="30"/>
      <c r="F23" s="4"/>
      <c r="G23" s="4"/>
      <c r="H23" s="4"/>
      <c r="I23" s="5"/>
      <c r="J23" s="27"/>
      <c r="K23" s="42"/>
      <c r="L23" s="46"/>
      <c r="M23" s="34"/>
    </row>
    <row r="24" spans="1:18" x14ac:dyDescent="0.35">
      <c r="A24" s="33"/>
      <c r="B24" s="3"/>
      <c r="C24" s="27"/>
      <c r="D24" s="4"/>
      <c r="E24" s="30"/>
      <c r="F24" s="4"/>
      <c r="G24" s="4"/>
      <c r="H24" s="4"/>
      <c r="I24" s="5"/>
      <c r="J24" s="27"/>
      <c r="K24" s="42"/>
      <c r="L24" s="46"/>
      <c r="M24" s="34"/>
    </row>
    <row r="25" spans="1:18" x14ac:dyDescent="0.35">
      <c r="A25" s="33"/>
      <c r="B25" s="3"/>
      <c r="C25" s="27"/>
      <c r="D25" s="4"/>
      <c r="E25" s="30"/>
      <c r="F25" s="4"/>
      <c r="G25" s="4"/>
      <c r="H25" s="4"/>
      <c r="I25" s="5"/>
      <c r="J25" s="27"/>
      <c r="K25" s="42"/>
      <c r="L25" s="46"/>
      <c r="M25" s="34"/>
    </row>
    <row r="26" spans="1:18" x14ac:dyDescent="0.35">
      <c r="A26" s="33"/>
      <c r="B26" s="3"/>
      <c r="C26" s="27"/>
      <c r="D26" s="4"/>
      <c r="E26" s="30"/>
      <c r="F26" s="4"/>
      <c r="G26" s="4"/>
      <c r="H26" s="4"/>
      <c r="I26" s="5"/>
      <c r="J26" s="27"/>
      <c r="K26" s="42"/>
      <c r="L26" s="46"/>
      <c r="M26" s="34"/>
    </row>
    <row r="27" spans="1:18" ht="18" customHeight="1" x14ac:dyDescent="0.35">
      <c r="A27" s="337" t="str">
        <f>cal!$Z$1&amp;" "&amp;$R$15&amp;" "&amp;ROUND(cal!Y34,1)&amp;IF(cal!$X$4=1," cm",IF(cal!$X$4=2," in"))&amp;" "&amp;$R$16&amp;" "&amp;ROUND(cal!AA34,1)&amp;IF(cal!$X$4=1," cm",IF(cal!$X$4=2," in"))&amp;" "&amp;$R$17&amp;" "&amp;ROUND(cal!AC34,1)&amp;IF(cal!$X$4=1," cm",IF(cal!$X$4=2," in"))&amp;" (Typ 3)"</f>
        <v>Freedom höjd 20 cm djup 19 cm längd 145 cm (Typ 3)</v>
      </c>
      <c r="B27" s="338"/>
      <c r="C27" s="337"/>
      <c r="D27" s="339"/>
      <c r="E27" s="338"/>
      <c r="F27" s="338"/>
      <c r="G27" s="338"/>
      <c r="H27" s="338"/>
      <c r="I27" s="338"/>
      <c r="J27" s="337"/>
      <c r="K27" s="338"/>
      <c r="L27" s="338"/>
      <c r="M27" s="339"/>
    </row>
    <row r="28" spans="1:18" x14ac:dyDescent="0.35">
      <c r="A28" s="33"/>
      <c r="B28" s="3"/>
      <c r="C28" s="27"/>
      <c r="D28" s="4"/>
      <c r="E28" s="30"/>
      <c r="F28" s="4"/>
      <c r="G28" s="4"/>
      <c r="H28" s="4"/>
      <c r="I28" s="5"/>
      <c r="J28" s="27"/>
      <c r="K28" s="42"/>
      <c r="L28" s="46"/>
      <c r="M28" s="34"/>
    </row>
    <row r="29" spans="1:18" x14ac:dyDescent="0.35">
      <c r="A29" s="33"/>
      <c r="B29" s="3"/>
      <c r="C29" s="27"/>
      <c r="D29" s="4"/>
      <c r="E29" s="30"/>
      <c r="F29" s="4"/>
      <c r="G29" s="4"/>
      <c r="H29" s="4"/>
      <c r="I29" s="5"/>
      <c r="J29" s="27"/>
      <c r="K29" s="42"/>
      <c r="L29" s="46"/>
      <c r="M29" s="34"/>
    </row>
    <row r="30" spans="1:18" x14ac:dyDescent="0.35">
      <c r="A30" s="33"/>
      <c r="B30" s="3"/>
      <c r="C30" s="27"/>
      <c r="D30" s="4"/>
      <c r="E30" s="30"/>
      <c r="F30" s="4"/>
      <c r="G30" s="4"/>
      <c r="H30" s="4"/>
      <c r="I30" s="5"/>
      <c r="J30" s="27"/>
      <c r="K30" s="42"/>
      <c r="L30" s="46"/>
      <c r="M30" s="34"/>
    </row>
    <row r="31" spans="1:18" x14ac:dyDescent="0.35">
      <c r="A31" s="33"/>
      <c r="B31" s="3"/>
      <c r="C31" s="27"/>
      <c r="D31" s="4"/>
      <c r="E31" s="30"/>
      <c r="F31" s="4"/>
      <c r="G31" s="4"/>
      <c r="H31" s="4"/>
      <c r="I31" s="5"/>
      <c r="J31" s="27"/>
      <c r="K31" s="42"/>
      <c r="L31" s="46"/>
      <c r="M31" s="34"/>
    </row>
    <row r="32" spans="1:18" x14ac:dyDescent="0.35">
      <c r="A32" s="33"/>
      <c r="B32" s="3"/>
      <c r="C32" s="27"/>
      <c r="D32" s="4"/>
      <c r="E32" s="30"/>
      <c r="F32" s="4"/>
      <c r="G32" s="4"/>
      <c r="H32" s="4"/>
      <c r="I32" s="5"/>
      <c r="J32" s="27"/>
      <c r="K32" s="42"/>
      <c r="L32" s="46"/>
      <c r="M32" s="34"/>
    </row>
    <row r="33" spans="1:13" ht="16.899999999999999" customHeight="1" x14ac:dyDescent="0.35">
      <c r="A33" s="337" t="str">
        <f>cal!$Z$1&amp;" "&amp;$R$15&amp;" "&amp;ROUND(cal!Y40,1)&amp;IF(cal!$X$4=1," cm",IF(cal!$X$4=2," in"))&amp;" "&amp;$R$16&amp;" "&amp;ROUND(cal!AA40,1)&amp;IF(cal!$X$4=1," cm",IF(cal!$X$4=2," in"))&amp;" "&amp;$R$17&amp;" "&amp;ROUND(cal!AC40,1)&amp;IF(cal!$X$4=1," cm",IF(cal!$X$4=2," in"))&amp;" (Typ 4)"</f>
        <v>Freedom höjd 20 cm djup 19 cm längd 181 cm (Typ 4)</v>
      </c>
      <c r="B33" s="338"/>
      <c r="C33" s="337"/>
      <c r="D33" s="339"/>
      <c r="E33" s="338"/>
      <c r="F33" s="338"/>
      <c r="G33" s="338"/>
      <c r="H33" s="338"/>
      <c r="I33" s="338"/>
      <c r="J33" s="337"/>
      <c r="K33" s="338"/>
      <c r="L33" s="338"/>
      <c r="M33" s="339"/>
    </row>
    <row r="34" spans="1:13" x14ac:dyDescent="0.35">
      <c r="A34" s="33"/>
      <c r="B34" s="3"/>
      <c r="C34" s="27"/>
      <c r="D34" s="4"/>
      <c r="E34" s="30"/>
      <c r="F34" s="4"/>
      <c r="G34" s="4"/>
      <c r="H34" s="4"/>
      <c r="I34" s="5"/>
      <c r="J34" s="27"/>
      <c r="K34" s="42"/>
      <c r="L34" s="46"/>
      <c r="M34" s="34"/>
    </row>
    <row r="35" spans="1:13" x14ac:dyDescent="0.35">
      <c r="A35" s="33"/>
      <c r="B35" s="3"/>
      <c r="C35" s="27"/>
      <c r="D35" s="4"/>
      <c r="E35" s="30"/>
      <c r="F35" s="4"/>
      <c r="G35" s="4"/>
      <c r="H35" s="4"/>
      <c r="I35" s="5"/>
      <c r="J35" s="27"/>
      <c r="K35" s="42"/>
      <c r="L35" s="46"/>
      <c r="M35" s="34"/>
    </row>
    <row r="36" spans="1:13" x14ac:dyDescent="0.35">
      <c r="A36" s="33"/>
      <c r="B36" s="3"/>
      <c r="C36" s="27"/>
      <c r="D36" s="4"/>
      <c r="E36" s="30"/>
      <c r="F36" s="4"/>
      <c r="G36" s="4"/>
      <c r="H36" s="4"/>
      <c r="I36" s="5"/>
      <c r="J36" s="27"/>
      <c r="K36" s="42"/>
      <c r="L36" s="46"/>
      <c r="M36" s="34"/>
    </row>
    <row r="37" spans="1:13" x14ac:dyDescent="0.35">
      <c r="A37" s="33"/>
      <c r="B37" s="3"/>
      <c r="C37" s="27"/>
      <c r="D37" s="4"/>
      <c r="E37" s="30"/>
      <c r="F37" s="4"/>
      <c r="G37" s="4"/>
      <c r="H37" s="4"/>
      <c r="I37" s="5"/>
      <c r="J37" s="27"/>
      <c r="K37" s="42"/>
      <c r="L37" s="46"/>
      <c r="M37" s="34"/>
    </row>
    <row r="38" spans="1:13" ht="15" customHeight="1" x14ac:dyDescent="0.35">
      <c r="A38" s="33"/>
      <c r="B38" s="3"/>
      <c r="C38" s="27"/>
      <c r="D38" s="4"/>
      <c r="E38" s="30"/>
      <c r="F38" s="4"/>
      <c r="G38" s="4"/>
      <c r="H38" s="4"/>
      <c r="I38" s="5"/>
      <c r="J38" s="27"/>
      <c r="K38" s="42"/>
      <c r="L38" s="46"/>
      <c r="M38" s="34"/>
    </row>
    <row r="39" spans="1:13" ht="15" customHeight="1" x14ac:dyDescent="0.35">
      <c r="A39" s="337" t="str">
        <f>cal!$Z$1&amp;" "&amp;$R$15&amp;" "&amp;ROUND(cal!Y46,1)&amp;IF(cal!$X$4=1," cm",IF(cal!$X$4=2," in"))&amp;" "&amp;$R$16&amp;" "&amp;ROUND(cal!AA46,1)&amp;IF(cal!$X$4=1," cm",IF(cal!$X$4=2," in"))&amp;" "&amp;$R$17&amp;" "&amp;ROUND(cal!AC46,1)&amp;IF(cal!$X$4=1," cm",IF(cal!$X$4=2," in"))&amp;" (Typ 5)"</f>
        <v>Freedom höjd 0 cm djup 0 cm längd 0 cm (Typ 5)</v>
      </c>
      <c r="B39" s="338"/>
      <c r="C39" s="337"/>
      <c r="D39" s="339"/>
      <c r="E39" s="338"/>
      <c r="F39" s="338"/>
      <c r="G39" s="338"/>
      <c r="H39" s="338"/>
      <c r="I39" s="338"/>
      <c r="J39" s="337"/>
      <c r="K39" s="338"/>
      <c r="L39" s="338"/>
      <c r="M39" s="339"/>
    </row>
    <row r="40" spans="1:13" ht="15" customHeight="1" x14ac:dyDescent="0.35">
      <c r="A40" s="33"/>
      <c r="B40" s="3"/>
      <c r="C40" s="27"/>
      <c r="D40" s="4"/>
      <c r="E40" s="30"/>
      <c r="F40" s="4"/>
      <c r="G40" s="4"/>
      <c r="H40" s="4"/>
      <c r="I40" s="5"/>
      <c r="J40" s="27"/>
      <c r="K40" s="42"/>
      <c r="L40" s="46"/>
      <c r="M40" s="34"/>
    </row>
    <row r="41" spans="1:13" ht="15" customHeight="1" x14ac:dyDescent="0.35">
      <c r="A41" s="33"/>
      <c r="B41" s="3"/>
      <c r="C41" s="27"/>
      <c r="D41" s="4"/>
      <c r="E41" s="30"/>
      <c r="F41" s="4"/>
      <c r="G41" s="4"/>
      <c r="H41" s="4"/>
      <c r="I41" s="5"/>
      <c r="J41" s="27"/>
      <c r="K41" s="42"/>
      <c r="L41" s="46"/>
      <c r="M41" s="34"/>
    </row>
    <row r="42" spans="1:13" ht="15" customHeight="1" x14ac:dyDescent="0.35">
      <c r="A42" s="33"/>
      <c r="B42" s="3"/>
      <c r="C42" s="27"/>
      <c r="D42" s="4"/>
      <c r="E42" s="30"/>
      <c r="F42" s="4"/>
      <c r="G42" s="4"/>
      <c r="H42" s="4"/>
      <c r="I42" s="5"/>
      <c r="J42" s="27"/>
      <c r="K42" s="42"/>
      <c r="L42" s="46"/>
      <c r="M42" s="34"/>
    </row>
    <row r="43" spans="1:13" ht="15" customHeight="1" x14ac:dyDescent="0.35">
      <c r="A43" s="33"/>
      <c r="B43" s="3"/>
      <c r="C43" s="27"/>
      <c r="D43" s="4"/>
      <c r="E43" s="30"/>
      <c r="F43" s="4"/>
      <c r="G43" s="4"/>
      <c r="H43" s="4"/>
      <c r="I43" s="5"/>
      <c r="J43" s="27"/>
      <c r="K43" s="42"/>
      <c r="L43" s="46"/>
      <c r="M43" s="34"/>
    </row>
    <row r="44" spans="1:13" ht="15" customHeight="1" x14ac:dyDescent="0.35">
      <c r="A44" s="33"/>
      <c r="B44" s="3"/>
      <c r="C44" s="27"/>
      <c r="D44" s="4"/>
      <c r="E44" s="30"/>
      <c r="F44" s="4"/>
      <c r="G44" s="4"/>
      <c r="H44" s="4"/>
      <c r="I44" s="5"/>
      <c r="J44" s="27"/>
      <c r="K44" s="42"/>
      <c r="L44" s="46"/>
      <c r="M44" s="34"/>
    </row>
    <row r="45" spans="1:13" ht="15" customHeight="1" x14ac:dyDescent="0.35">
      <c r="A45" s="337" t="str">
        <f>cal!$Z$1&amp;" "&amp;$R$15&amp;" "&amp;ROUND(cal!Y52,1)&amp;IF(cal!$X$4=1," cm",IF(cal!$X$4=2," in"))&amp;" "&amp;$R$16&amp;" "&amp;ROUND(cal!AA52,1)&amp;IF(cal!$X$4=1," cm",IF(cal!$X$4=2," in"))&amp;" "&amp;$R$17&amp;" "&amp;ROUND(cal!AC52,1)&amp;IF(cal!$X$4=1," cm",IF(cal!$X$4=2," in"))&amp;" (Typ 6)"</f>
        <v>Freedom höjd 0 cm djup 0 cm längd 0 cm (Typ 6)</v>
      </c>
      <c r="B45" s="338"/>
      <c r="C45" s="337"/>
      <c r="D45" s="339"/>
      <c r="E45" s="338"/>
      <c r="F45" s="338"/>
      <c r="G45" s="338"/>
      <c r="H45" s="338"/>
      <c r="I45" s="338"/>
      <c r="J45" s="337"/>
      <c r="K45" s="338"/>
      <c r="L45" s="338"/>
      <c r="M45" s="339"/>
    </row>
    <row r="46" spans="1:13" ht="15" customHeight="1" x14ac:dyDescent="0.35">
      <c r="A46" s="33"/>
      <c r="B46" s="3"/>
      <c r="C46" s="27"/>
      <c r="D46" s="4"/>
      <c r="E46" s="30"/>
      <c r="F46" s="4"/>
      <c r="G46" s="4"/>
      <c r="H46" s="4"/>
      <c r="I46" s="5"/>
      <c r="J46" s="27"/>
      <c r="K46" s="42"/>
      <c r="L46" s="46"/>
      <c r="M46" s="34"/>
    </row>
    <row r="47" spans="1:13" ht="15" customHeight="1" x14ac:dyDescent="0.35">
      <c r="A47" s="33"/>
      <c r="B47" s="3"/>
      <c r="C47" s="27"/>
      <c r="D47" s="4"/>
      <c r="E47" s="30"/>
      <c r="F47" s="4"/>
      <c r="G47" s="4"/>
      <c r="H47" s="4"/>
      <c r="I47" s="5"/>
      <c r="J47" s="27"/>
      <c r="K47" s="42"/>
      <c r="L47" s="46"/>
      <c r="M47" s="34"/>
    </row>
    <row r="48" spans="1:13" ht="15" customHeight="1" x14ac:dyDescent="0.35">
      <c r="A48" s="33"/>
      <c r="B48" s="3"/>
      <c r="C48" s="27"/>
      <c r="D48" s="4"/>
      <c r="E48" s="30"/>
      <c r="F48" s="4"/>
      <c r="G48" s="4"/>
      <c r="H48" s="4"/>
      <c r="I48" s="5"/>
      <c r="J48" s="27"/>
      <c r="K48" s="42"/>
      <c r="L48" s="46"/>
      <c r="M48" s="34"/>
    </row>
    <row r="49" spans="1:13" ht="15" customHeight="1" x14ac:dyDescent="0.35">
      <c r="A49" s="33"/>
      <c r="B49" s="3"/>
      <c r="C49" s="27"/>
      <c r="D49" s="4"/>
      <c r="E49" s="30"/>
      <c r="F49" s="4"/>
      <c r="G49" s="4"/>
      <c r="H49" s="4"/>
      <c r="I49" s="5"/>
      <c r="J49" s="27"/>
      <c r="K49" s="42"/>
      <c r="L49" s="46"/>
      <c r="M49" s="34"/>
    </row>
    <row r="50" spans="1:13" ht="15" customHeight="1" x14ac:dyDescent="0.35">
      <c r="A50" s="33"/>
      <c r="B50" s="3"/>
      <c r="C50" s="27"/>
      <c r="D50" s="4"/>
      <c r="E50" s="30"/>
      <c r="F50" s="4"/>
      <c r="G50" s="4"/>
      <c r="H50" s="4"/>
      <c r="I50" s="5"/>
      <c r="J50" s="27"/>
      <c r="K50" s="42"/>
      <c r="L50" s="46"/>
      <c r="M50" s="34"/>
    </row>
    <row r="51" spans="1:13" ht="15" customHeight="1" x14ac:dyDescent="0.35">
      <c r="A51" s="337" t="str">
        <f>cal!$Z$1&amp;" "&amp;$R$15&amp;" "&amp;ROUND(cal!Y58,1)&amp;IF(cal!$X$4=1," cm",IF(cal!$X$4=2," in"))&amp;" "&amp;$R$16&amp;" "&amp;ROUND(cal!AA58,1)&amp;IF(cal!$X$4=1," cm",IF(cal!$X$4=2," in"))&amp;" "&amp;$R$17&amp;" "&amp;ROUND(cal!AC58,1)&amp;IF(cal!$X$4=1," cm",IF(cal!$X$4=2," in"))&amp;" (Typ 7)"</f>
        <v>Freedom höjd 0 cm djup 0 cm längd 0 cm (Typ 7)</v>
      </c>
      <c r="B51" s="338"/>
      <c r="C51" s="337"/>
      <c r="D51" s="339"/>
      <c r="E51" s="338"/>
      <c r="F51" s="338"/>
      <c r="G51" s="338"/>
      <c r="H51" s="338"/>
      <c r="I51" s="338"/>
      <c r="J51" s="337"/>
      <c r="K51" s="338"/>
      <c r="L51" s="338"/>
      <c r="M51" s="339"/>
    </row>
    <row r="52" spans="1:13" ht="15" customHeight="1" x14ac:dyDescent="0.35">
      <c r="A52" s="33"/>
      <c r="B52" s="3"/>
      <c r="C52" s="27"/>
      <c r="D52" s="4"/>
      <c r="E52" s="30"/>
      <c r="F52" s="4"/>
      <c r="G52" s="4"/>
      <c r="H52" s="4"/>
      <c r="I52" s="5"/>
      <c r="J52" s="27"/>
      <c r="K52" s="42"/>
      <c r="L52" s="46"/>
      <c r="M52" s="34"/>
    </row>
    <row r="53" spans="1:13" ht="15" customHeight="1" x14ac:dyDescent="0.35">
      <c r="A53" s="33"/>
      <c r="B53" s="3"/>
      <c r="C53" s="27"/>
      <c r="D53" s="4"/>
      <c r="E53" s="30"/>
      <c r="F53" s="4"/>
      <c r="G53" s="4"/>
      <c r="H53" s="4"/>
      <c r="I53" s="5"/>
      <c r="J53" s="27"/>
      <c r="K53" s="42"/>
      <c r="L53" s="46"/>
      <c r="M53" s="34"/>
    </row>
    <row r="54" spans="1:13" ht="15" customHeight="1" x14ac:dyDescent="0.35">
      <c r="A54" s="33"/>
      <c r="B54" s="3"/>
      <c r="C54" s="27"/>
      <c r="D54" s="4"/>
      <c r="E54" s="30"/>
      <c r="F54" s="4"/>
      <c r="G54" s="4"/>
      <c r="H54" s="4"/>
      <c r="I54" s="5"/>
      <c r="J54" s="27"/>
      <c r="K54" s="42"/>
      <c r="L54" s="46"/>
      <c r="M54" s="34"/>
    </row>
    <row r="55" spans="1:13" ht="15" customHeight="1" x14ac:dyDescent="0.35">
      <c r="A55" s="33"/>
      <c r="B55" s="3"/>
      <c r="C55" s="27"/>
      <c r="D55" s="4"/>
      <c r="E55" s="30"/>
      <c r="F55" s="4"/>
      <c r="G55" s="4"/>
      <c r="H55" s="4"/>
      <c r="I55" s="5"/>
      <c r="J55" s="27"/>
      <c r="K55" s="42"/>
      <c r="L55" s="46"/>
      <c r="M55" s="34"/>
    </row>
    <row r="56" spans="1:13" ht="15" customHeight="1" x14ac:dyDescent="0.35">
      <c r="A56" s="33"/>
      <c r="B56" s="3"/>
      <c r="C56" s="27"/>
      <c r="D56" s="4"/>
      <c r="E56" s="30"/>
      <c r="F56" s="4"/>
      <c r="G56" s="4"/>
      <c r="H56" s="4"/>
      <c r="I56" s="5"/>
      <c r="J56" s="27"/>
      <c r="K56" s="42"/>
      <c r="L56" s="46"/>
      <c r="M56" s="34"/>
    </row>
    <row r="57" spans="1:13" ht="15" customHeight="1" x14ac:dyDescent="0.35">
      <c r="A57" s="337" t="str">
        <f>cal!$Z$1&amp;" "&amp;$R$15&amp;" "&amp;ROUND(cal!Y64,1)&amp;IF(cal!$X$4=1," cm",IF(cal!$X$4=2," in"))&amp;" "&amp;$R$16&amp;" "&amp;ROUND(cal!AA64,1)&amp;IF(cal!$X$4=1," cm",IF(cal!$X$4=2," in"))&amp;" "&amp;$R$17&amp;" "&amp;ROUND(cal!AC64,1)&amp;IF(cal!$X$4=1," cm",IF(cal!$X$4=2," in"))&amp;" (Typ 8)"</f>
        <v>Freedom höjd 0 cm djup 0 cm längd 0 cm (Typ 8)</v>
      </c>
      <c r="B57" s="338"/>
      <c r="C57" s="337"/>
      <c r="D57" s="339"/>
      <c r="E57" s="338"/>
      <c r="F57" s="338"/>
      <c r="G57" s="338"/>
      <c r="H57" s="338"/>
      <c r="I57" s="338"/>
      <c r="J57" s="337"/>
      <c r="K57" s="338"/>
      <c r="L57" s="338"/>
      <c r="M57" s="339"/>
    </row>
    <row r="58" spans="1:13" ht="15" customHeight="1" x14ac:dyDescent="0.35">
      <c r="A58" s="33"/>
      <c r="B58" s="3"/>
      <c r="C58" s="27"/>
      <c r="D58" s="4"/>
      <c r="E58" s="30"/>
      <c r="F58" s="4"/>
      <c r="G58" s="4"/>
      <c r="H58" s="4"/>
      <c r="I58" s="5"/>
      <c r="J58" s="27"/>
      <c r="K58" s="42"/>
      <c r="L58" s="46"/>
      <c r="M58" s="34"/>
    </row>
    <row r="59" spans="1:13" ht="15" customHeight="1" x14ac:dyDescent="0.35">
      <c r="A59" s="33"/>
      <c r="B59" s="3"/>
      <c r="C59" s="27"/>
      <c r="D59" s="4"/>
      <c r="E59" s="30"/>
      <c r="F59" s="4"/>
      <c r="G59" s="4"/>
      <c r="H59" s="4"/>
      <c r="I59" s="5"/>
      <c r="J59" s="27"/>
      <c r="K59" s="42"/>
      <c r="L59" s="46"/>
      <c r="M59" s="34"/>
    </row>
    <row r="60" spans="1:13" ht="15" customHeight="1" x14ac:dyDescent="0.35">
      <c r="A60" s="33"/>
      <c r="B60" s="3"/>
      <c r="C60" s="27"/>
      <c r="D60" s="4"/>
      <c r="E60" s="30"/>
      <c r="F60" s="4"/>
      <c r="G60" s="4"/>
      <c r="H60" s="4"/>
      <c r="I60" s="5"/>
      <c r="J60" s="27"/>
      <c r="K60" s="42"/>
      <c r="L60" s="46"/>
      <c r="M60" s="34"/>
    </row>
    <row r="61" spans="1:13" ht="15" customHeight="1" x14ac:dyDescent="0.35">
      <c r="A61" s="33"/>
      <c r="B61" s="3"/>
      <c r="C61" s="27"/>
      <c r="D61" s="4"/>
      <c r="E61" s="30"/>
      <c r="F61" s="4"/>
      <c r="G61" s="4"/>
      <c r="H61" s="4"/>
      <c r="I61" s="5"/>
      <c r="J61" s="27"/>
      <c r="K61" s="42"/>
      <c r="L61" s="46"/>
      <c r="M61" s="34"/>
    </row>
    <row r="62" spans="1:13" ht="15" customHeight="1" x14ac:dyDescent="0.35">
      <c r="A62" s="33"/>
      <c r="B62" s="3"/>
      <c r="C62" s="27"/>
      <c r="D62" s="4"/>
      <c r="E62" s="30"/>
      <c r="F62" s="4"/>
      <c r="G62" s="4"/>
      <c r="H62" s="4"/>
      <c r="I62" s="5"/>
      <c r="J62" s="27"/>
      <c r="K62" s="42"/>
      <c r="L62" s="46"/>
      <c r="M62" s="34"/>
    </row>
    <row r="63" spans="1:13" ht="15" customHeight="1" x14ac:dyDescent="0.35">
      <c r="A63" s="337" t="str">
        <f>cal!$Z$1&amp;" "&amp;$R$15&amp;" "&amp;ROUND(cal!Y70,1)&amp;IF(cal!$X$4=1," cm",IF(cal!$X$4=2," in"))&amp;" "&amp;$R$16&amp;" "&amp;ROUND(cal!AA70,1)&amp;IF(cal!$X$4=1," cm",IF(cal!$X$4=2," in"))&amp;" "&amp;$R$17&amp;" "&amp;ROUND(cal!AC70,1)&amp;IF(cal!$X$4=1," cm",IF(cal!$X$4=2," in"))&amp;" (Typ 9)"</f>
        <v>Freedom höjd 0 cm djup 0 cm längd 0 cm (Typ 9)</v>
      </c>
      <c r="B63" s="338"/>
      <c r="C63" s="337"/>
      <c r="D63" s="339"/>
      <c r="E63" s="338"/>
      <c r="F63" s="338"/>
      <c r="G63" s="338"/>
      <c r="H63" s="338"/>
      <c r="I63" s="338"/>
      <c r="J63" s="337"/>
      <c r="K63" s="338"/>
      <c r="L63" s="338"/>
      <c r="M63" s="339"/>
    </row>
    <row r="64" spans="1:13" ht="15" customHeight="1" x14ac:dyDescent="0.35">
      <c r="A64" s="33"/>
      <c r="B64" s="3"/>
      <c r="C64" s="27"/>
      <c r="D64" s="4"/>
      <c r="E64" s="30"/>
      <c r="F64" s="4"/>
      <c r="G64" s="4"/>
      <c r="H64" s="4"/>
      <c r="I64" s="5"/>
      <c r="J64" s="27"/>
      <c r="K64" s="42"/>
      <c r="L64" s="46"/>
      <c r="M64" s="34"/>
    </row>
    <row r="65" spans="1:13" ht="15" customHeight="1" x14ac:dyDescent="0.35">
      <c r="A65" s="33"/>
      <c r="B65" s="3"/>
      <c r="C65" s="27"/>
      <c r="D65" s="4"/>
      <c r="E65" s="30"/>
      <c r="F65" s="4"/>
      <c r="G65" s="4"/>
      <c r="H65" s="4"/>
      <c r="I65" s="5"/>
      <c r="J65" s="27"/>
      <c r="K65" s="42"/>
      <c r="L65" s="46"/>
      <c r="M65" s="34"/>
    </row>
    <row r="66" spans="1:13" ht="15" customHeight="1" x14ac:dyDescent="0.35">
      <c r="A66" s="33"/>
      <c r="B66" s="3"/>
      <c r="C66" s="27"/>
      <c r="D66" s="4"/>
      <c r="E66" s="30"/>
      <c r="F66" s="4"/>
      <c r="G66" s="4"/>
      <c r="H66" s="4"/>
      <c r="I66" s="5"/>
      <c r="J66" s="27"/>
      <c r="K66" s="42"/>
      <c r="L66" s="46"/>
      <c r="M66" s="34"/>
    </row>
    <row r="67" spans="1:13" ht="15" customHeight="1" x14ac:dyDescent="0.35">
      <c r="A67" s="33"/>
      <c r="B67" s="3"/>
      <c r="C67" s="27"/>
      <c r="D67" s="4"/>
      <c r="E67" s="30"/>
      <c r="F67" s="4"/>
      <c r="G67" s="4"/>
      <c r="H67" s="4"/>
      <c r="I67" s="5"/>
      <c r="J67" s="27"/>
      <c r="K67" s="42"/>
      <c r="L67" s="46"/>
      <c r="M67" s="34"/>
    </row>
    <row r="68" spans="1:13" ht="15" customHeight="1" x14ac:dyDescent="0.35">
      <c r="A68" s="35"/>
      <c r="B68" s="36"/>
      <c r="C68" s="37"/>
      <c r="D68" s="38"/>
      <c r="E68" s="39"/>
      <c r="F68" s="38"/>
      <c r="G68" s="38"/>
      <c r="H68" s="38"/>
      <c r="I68" s="40"/>
      <c r="J68" s="37"/>
      <c r="K68" s="43"/>
      <c r="L68" s="46"/>
      <c r="M68" s="41"/>
    </row>
    <row r="69" spans="1:13" ht="9.65" customHeight="1" x14ac:dyDescent="0.35">
      <c r="A69" s="6" t="s">
        <v>199</v>
      </c>
      <c r="L69" s="47"/>
      <c r="M69" s="45" t="str">
        <f>cal!N70</f>
        <v>v2022-08-26</v>
      </c>
    </row>
    <row r="70" spans="1:13" ht="9.65" customHeight="1" x14ac:dyDescent="0.35">
      <c r="A70" s="6" t="s">
        <v>197</v>
      </c>
    </row>
    <row r="71" spans="1:13" ht="9.65" customHeight="1" x14ac:dyDescent="0.35">
      <c r="A71" s="6" t="s">
        <v>198</v>
      </c>
    </row>
  </sheetData>
  <sheetProtection selectLockedCells="1"/>
  <mergeCells count="16">
    <mergeCell ref="A63:M63"/>
    <mergeCell ref="F10:I10"/>
    <mergeCell ref="A15:M15"/>
    <mergeCell ref="A21:M21"/>
    <mergeCell ref="A27:M27"/>
    <mergeCell ref="F11:I11"/>
    <mergeCell ref="A33:M33"/>
    <mergeCell ref="A39:M39"/>
    <mergeCell ref="A45:M45"/>
    <mergeCell ref="A51:M51"/>
    <mergeCell ref="A57:M57"/>
    <mergeCell ref="L6:M6"/>
    <mergeCell ref="L7:M7"/>
    <mergeCell ref="F8:I8"/>
    <mergeCell ref="L8:M8"/>
    <mergeCell ref="F9:I9"/>
  </mergeCells>
  <dataValidations count="7">
    <dataValidation type="decimal" errorStyle="information" allowBlank="1" showErrorMessage="1" error="Eingabe außerhalb des gültigen Bereichs." prompt="20°C bis 35°C" sqref="J11" xr:uid="{00000000-0002-0000-08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J8" xr:uid="{00000000-0002-0000-08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J9" xr:uid="{00000000-0002-0000-0800-000002000000}">
      <formula1>J8</formula1>
      <formula2>J10</formula2>
    </dataValidation>
    <dataValidation type="whole" errorStyle="information" allowBlank="1" showErrorMessage="1" error="Temperatur außerhalb des gütligen Bereichs." prompt="Eingabe zwischen 30°C bis 95°C" sqref="D8" xr:uid="{00000000-0002-0000-08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D9" xr:uid="{00000000-0002-0000-0800-000004000000}">
      <formula1>D10</formula1>
      <formula2>D8</formula2>
    </dataValidation>
    <dataValidation type="whole" errorStyle="information" allowBlank="1" showErrorMessage="1" error="Eingabe außerhalb des gültigen Bereichs." prompt="Eingabe zwischen 16°C bis 30°C" sqref="D10" xr:uid="{00000000-0002-0000-0800-000005000000}">
      <formula1>16</formula1>
      <formula2>30</formula2>
    </dataValidation>
    <dataValidation type="whole" errorStyle="information" allowBlank="1" showErrorMessage="1" error="Eingabe außerhalb des gültigen Bereichs." prompt="20°C bis 35°C" sqref="J10" xr:uid="{00000000-0002-0000-0800-000006000000}">
      <formula1>20</formula1>
      <formula2>35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14</vt:i4>
      </vt:variant>
    </vt:vector>
  </HeadingPairs>
  <TitlesOfParts>
    <vt:vector size="27" baseType="lpstr">
      <vt:lpstr>Freedom</vt:lpstr>
      <vt:lpstr>cal</vt:lpstr>
      <vt:lpstr>NL</vt:lpstr>
      <vt:lpstr>EN</vt:lpstr>
      <vt:lpstr>DE</vt:lpstr>
      <vt:lpstr>FR</vt:lpstr>
      <vt:lpstr>NR</vt:lpstr>
      <vt:lpstr>SP</vt:lpstr>
      <vt:lpstr>SW</vt:lpstr>
      <vt:lpstr>TS</vt:lpstr>
      <vt:lpstr>ExtraTaal1</vt:lpstr>
      <vt:lpstr>ExtraTaal2</vt:lpstr>
      <vt:lpstr>ExtraTaal3</vt:lpstr>
      <vt:lpstr>Celc1</vt:lpstr>
      <vt:lpstr>Celc2</vt:lpstr>
      <vt:lpstr>CF_Altit</vt:lpstr>
      <vt:lpstr>Cubics</vt:lpstr>
      <vt:lpstr>kgss</vt:lpstr>
      <vt:lpstr>p_atm</vt:lpstr>
      <vt:lpstr>RH</vt:lpstr>
      <vt:lpstr>Tl_cool</vt:lpstr>
      <vt:lpstr>Tl_heat</vt:lpstr>
      <vt:lpstr>Tr_cool</vt:lpstr>
      <vt:lpstr>Tr_heat</vt:lpstr>
      <vt:lpstr>Tv_cool</vt:lpstr>
      <vt:lpstr>Tv_heat</vt:lpstr>
      <vt:lpstr>Watts</vt:lpstr>
    </vt:vector>
  </TitlesOfParts>
  <Company>Jaga 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Clima canal H13W32</dc:subject>
  <dc:creator>Patrick Thomas</dc:creator>
  <dc:description>Update: 
1) Invoering van logaritmische CF;
2) toevoeging L300.</dc:description>
  <cp:lastModifiedBy>Dariusz Majchrzak</cp:lastModifiedBy>
  <cp:lastPrinted>2019-09-05T07:29:31Z</cp:lastPrinted>
  <dcterms:created xsi:type="dcterms:W3CDTF">2016-04-18T12:28:50Z</dcterms:created>
  <dcterms:modified xsi:type="dcterms:W3CDTF">2024-01-24T22:18:49Z</dcterms:modified>
  <cp:category>Selectiontools</cp:category>
  <cp:contentStatus>Update 16/01/2020 THenson</cp:contentStatus>
</cp:coreProperties>
</file>