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selectiontools\30_09_22_vertiga_opgenomen_vermogen\"/>
    </mc:Choice>
  </mc:AlternateContent>
  <xr:revisionPtr revIDLastSave="0" documentId="13_ncr:1_{32C16684-82CB-4F6C-83F9-804AA33704C9}" xr6:coauthVersionLast="47" xr6:coauthVersionMax="47" xr10:uidLastSave="{00000000-0000-0000-0000-000000000000}"/>
  <workbookProtection workbookAlgorithmName="SHA-512" workbookHashValue="i+ySUgkY6a1DeIuhPAWShWRPYsdH3O9ACj+BCPFYGv99aGQEmH48SU7jF6LA4/vuNufOn5utT+SLej3b8z75iQ==" workbookSaltValue="QBu0WtrKoJhrTTgQhSDvfg==" workbookSpinCount="100000" lockStructure="1"/>
  <bookViews>
    <workbookView xWindow="57480" yWindow="-120" windowWidth="29040" windowHeight="15840" xr2:uid="{00000000-000D-0000-FFFF-FFFF00000000}"/>
  </bookViews>
  <sheets>
    <sheet name="Vertiga Hybrid" sheetId="7" r:id="rId1"/>
    <sheet name="data" sheetId="1" state="hidden" r:id="rId2"/>
    <sheet name="NL" sheetId="6" state="hidden" r:id="rId3"/>
    <sheet name="EN" sheetId="3" state="hidden" r:id="rId4"/>
    <sheet name="FR" sheetId="4" state="hidden" r:id="rId5"/>
    <sheet name="DE" sheetId="5" state="hidden" r:id="rId6"/>
    <sheet name="NR" sheetId="8" state="hidden" r:id="rId7"/>
    <sheet name="SP" sheetId="9" state="hidden" r:id="rId8"/>
    <sheet name="SW" sheetId="10" state="hidden" r:id="rId9"/>
    <sheet name="TS" sheetId="11" state="hidden" r:id="rId10"/>
    <sheet name="ExtraTaal1" sheetId="12" state="hidden" r:id="rId11"/>
    <sheet name="ExtraTaal2" sheetId="13" state="hidden" r:id="rId12"/>
    <sheet name="ExtraTaal3" sheetId="14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1" l="1"/>
  <c r="C13" i="11"/>
  <c r="E11" i="11"/>
  <c r="E10" i="11"/>
  <c r="E9" i="11"/>
  <c r="D6" i="11"/>
  <c r="D4" i="11"/>
  <c r="P38" i="1" l="1"/>
  <c r="F14" i="14"/>
  <c r="E13" i="14"/>
  <c r="C13" i="14"/>
  <c r="I11" i="14"/>
  <c r="E11" i="14"/>
  <c r="I10" i="14"/>
  <c r="E10" i="14"/>
  <c r="I9" i="14"/>
  <c r="E9" i="14"/>
  <c r="D6" i="14"/>
  <c r="D4" i="14"/>
  <c r="F14" i="13"/>
  <c r="E13" i="13"/>
  <c r="C13" i="13"/>
  <c r="I11" i="13"/>
  <c r="E11" i="13"/>
  <c r="I10" i="13"/>
  <c r="E10" i="13"/>
  <c r="I9" i="13"/>
  <c r="E9" i="13"/>
  <c r="D6" i="13"/>
  <c r="D4" i="13"/>
  <c r="F14" i="12"/>
  <c r="E13" i="12"/>
  <c r="C13" i="12"/>
  <c r="I11" i="12"/>
  <c r="E11" i="12"/>
  <c r="I10" i="12"/>
  <c r="E10" i="12"/>
  <c r="I9" i="12"/>
  <c r="E9" i="12"/>
  <c r="D6" i="12"/>
  <c r="D4" i="12"/>
  <c r="F10" i="7"/>
  <c r="F14" i="10"/>
  <c r="E13" i="10"/>
  <c r="C13" i="10"/>
  <c r="I11" i="10"/>
  <c r="E11" i="10"/>
  <c r="I10" i="10"/>
  <c r="E10" i="10"/>
  <c r="I9" i="10"/>
  <c r="E9" i="10"/>
  <c r="D6" i="10"/>
  <c r="D4" i="10"/>
  <c r="F14" i="9"/>
  <c r="E13" i="9"/>
  <c r="C13" i="9"/>
  <c r="E11" i="9"/>
  <c r="I10" i="9"/>
  <c r="E10" i="9"/>
  <c r="I9" i="9"/>
  <c r="E9" i="9"/>
  <c r="I11" i="9"/>
  <c r="D6" i="9"/>
  <c r="D4" i="9"/>
  <c r="E13" i="5"/>
  <c r="C13" i="5"/>
  <c r="E11" i="5"/>
  <c r="E10" i="5"/>
  <c r="E9" i="5"/>
  <c r="D6" i="5"/>
  <c r="D4" i="5"/>
  <c r="F14" i="8"/>
  <c r="E13" i="8"/>
  <c r="C13" i="8"/>
  <c r="I11" i="8"/>
  <c r="E11" i="8"/>
  <c r="I10" i="8"/>
  <c r="E10" i="8"/>
  <c r="I9" i="8"/>
  <c r="E9" i="8"/>
  <c r="D6" i="8"/>
  <c r="D4" i="8"/>
  <c r="F14" i="4"/>
  <c r="E13" i="4"/>
  <c r="C13" i="4"/>
  <c r="E11" i="4"/>
  <c r="E10" i="4"/>
  <c r="E9" i="4"/>
  <c r="D6" i="4"/>
  <c r="D4" i="4"/>
  <c r="F14" i="3"/>
  <c r="E13" i="3"/>
  <c r="C13" i="3"/>
  <c r="E11" i="3"/>
  <c r="I10" i="3"/>
  <c r="E10" i="3"/>
  <c r="I9" i="3"/>
  <c r="E9" i="3"/>
  <c r="I11" i="3"/>
  <c r="D6" i="3"/>
  <c r="D4" i="3"/>
  <c r="F14" i="6"/>
  <c r="E13" i="6"/>
  <c r="C13" i="6"/>
  <c r="E11" i="6"/>
  <c r="I10" i="6"/>
  <c r="E10" i="6"/>
  <c r="I9" i="6"/>
  <c r="E9" i="6"/>
  <c r="I11" i="6"/>
  <c r="D6" i="6"/>
  <c r="D4" i="6"/>
  <c r="F5" i="7" l="1"/>
  <c r="F6" i="7"/>
  <c r="K25" i="1"/>
  <c r="K27" i="1"/>
  <c r="K26" i="1"/>
  <c r="B16" i="7"/>
  <c r="G16" i="7"/>
  <c r="M16" i="7"/>
  <c r="C16" i="7"/>
  <c r="J16" i="7"/>
  <c r="C21" i="7"/>
  <c r="D16" i="7"/>
  <c r="K16" i="7"/>
  <c r="C22" i="7"/>
  <c r="E16" i="7"/>
  <c r="L16" i="7"/>
  <c r="C23" i="7"/>
  <c r="B11" i="7"/>
  <c r="B10" i="7"/>
  <c r="B12" i="7"/>
  <c r="G13" i="7"/>
  <c r="K7" i="7"/>
  <c r="L7" i="7"/>
  <c r="M7" i="7"/>
  <c r="J7" i="7"/>
  <c r="L10" i="7"/>
  <c r="B8" i="7"/>
  <c r="B9" i="7"/>
  <c r="G9" i="7"/>
  <c r="I10" i="5"/>
  <c r="I11" i="5"/>
  <c r="I9" i="5"/>
  <c r="I11" i="4"/>
  <c r="I10" i="4"/>
  <c r="I9" i="4"/>
  <c r="H16" i="7" l="1"/>
  <c r="L24" i="7"/>
  <c r="D23" i="7"/>
  <c r="H23" i="7"/>
  <c r="L23" i="7"/>
  <c r="E24" i="7"/>
  <c r="I24" i="7"/>
  <c r="M24" i="7"/>
  <c r="G23" i="7"/>
  <c r="H24" i="7"/>
  <c r="E23" i="7"/>
  <c r="I23" i="7"/>
  <c r="M23" i="7"/>
  <c r="F24" i="7"/>
  <c r="J24" i="7"/>
  <c r="K23" i="7"/>
  <c r="D24" i="7"/>
  <c r="F23" i="7"/>
  <c r="J23" i="7"/>
  <c r="C24" i="7"/>
  <c r="G24" i="7"/>
  <c r="K24" i="7"/>
  <c r="B17" i="7" l="1"/>
  <c r="E13" i="1" l="1"/>
  <c r="E14" i="1"/>
  <c r="E12" i="1"/>
  <c r="E10" i="1"/>
  <c r="E11" i="1"/>
  <c r="E9" i="1"/>
  <c r="L22" i="1"/>
  <c r="L21" i="1"/>
  <c r="L20" i="1"/>
  <c r="AF1" i="1" l="1"/>
  <c r="A5" i="1" l="1"/>
  <c r="M2" i="1" l="1"/>
  <c r="M3" i="1"/>
  <c r="M1" i="1"/>
  <c r="AC2" i="1"/>
  <c r="AC3" i="1"/>
  <c r="AC1" i="1"/>
  <c r="G11" i="7" l="1"/>
  <c r="G12" i="7"/>
  <c r="G10" i="7"/>
  <c r="AB2" i="1" l="1"/>
  <c r="AB3" i="1"/>
  <c r="AB1" i="1"/>
  <c r="L3" i="1"/>
  <c r="L2" i="1"/>
  <c r="L1" i="1"/>
  <c r="AX9" i="1" l="1"/>
  <c r="AW11" i="1"/>
  <c r="AW13" i="1"/>
  <c r="AV14" i="1"/>
  <c r="AV13" i="1"/>
  <c r="AW12" i="1"/>
  <c r="AX10" i="1"/>
  <c r="AX14" i="1"/>
  <c r="AW9" i="1"/>
  <c r="AX11" i="1"/>
  <c r="AX13" i="1"/>
  <c r="AV10" i="1"/>
  <c r="AV9" i="1"/>
  <c r="AW14" i="1"/>
  <c r="AX12" i="1"/>
  <c r="AW10" i="1"/>
  <c r="AV11" i="1"/>
  <c r="AV12" i="1"/>
  <c r="F12" i="7" l="1"/>
  <c r="K12" i="7"/>
  <c r="K11" i="7"/>
  <c r="K10" i="7"/>
  <c r="F11" i="7"/>
  <c r="A11" i="1" l="1"/>
  <c r="A12" i="1"/>
  <c r="A13" i="1"/>
  <c r="A14" i="1"/>
  <c r="A9" i="1"/>
  <c r="A10" i="1"/>
  <c r="AR5" i="1" l="1"/>
  <c r="C18" i="7" s="1"/>
  <c r="AQ5" i="1"/>
  <c r="AT5" i="1"/>
  <c r="AP5" i="1"/>
  <c r="AU5" i="1"/>
  <c r="BB5" i="1"/>
  <c r="AS5" i="1"/>
  <c r="AV5" i="1"/>
  <c r="AW5" i="1"/>
  <c r="AX5" i="1"/>
  <c r="N5" i="1"/>
  <c r="K5" i="1"/>
  <c r="AO5" i="1"/>
  <c r="H5" i="1"/>
  <c r="AL5" i="1"/>
  <c r="E5" i="1"/>
  <c r="AC5" i="1"/>
  <c r="L5" i="1"/>
  <c r="I5" i="1"/>
  <c r="AM5" i="1"/>
  <c r="AN5" i="1"/>
  <c r="AE5" i="1"/>
  <c r="B5" i="1"/>
  <c r="Z5" i="1"/>
  <c r="O5" i="1"/>
  <c r="J5" i="1"/>
  <c r="D5" i="1"/>
  <c r="F5" i="1"/>
  <c r="AD5" i="1"/>
  <c r="C5" i="1"/>
  <c r="AA5" i="1"/>
  <c r="P5" i="1"/>
  <c r="M5" i="1"/>
  <c r="G5" i="1"/>
  <c r="AB5" i="1"/>
  <c r="Q5" i="1"/>
  <c r="J20" i="7" l="1"/>
  <c r="L20" i="7"/>
  <c r="L19" i="7"/>
  <c r="L18" i="7"/>
  <c r="J19" i="7"/>
  <c r="C19" i="7"/>
  <c r="J18" i="7"/>
  <c r="U12" i="1"/>
  <c r="Y12" i="1" s="1"/>
  <c r="AF9" i="1"/>
  <c r="AY9" i="1" s="1"/>
  <c r="AF11" i="1"/>
  <c r="AY11" i="1" s="1"/>
  <c r="AF13" i="1"/>
  <c r="AY13" i="1" s="1"/>
  <c r="AG9" i="1"/>
  <c r="AZ9" i="1" s="1"/>
  <c r="AZ5" i="1" s="1"/>
  <c r="AG11" i="1"/>
  <c r="AZ11" i="1" s="1"/>
  <c r="AG13" i="1"/>
  <c r="AZ13" i="1" s="1"/>
  <c r="AF10" i="1"/>
  <c r="AY10" i="1" s="1"/>
  <c r="AF12" i="1"/>
  <c r="AY12" i="1" s="1"/>
  <c r="AF14" i="1"/>
  <c r="AY14" i="1" s="1"/>
  <c r="AG10" i="1"/>
  <c r="AZ10" i="1" s="1"/>
  <c r="AG12" i="1"/>
  <c r="AZ12" i="1" s="1"/>
  <c r="AG14" i="1"/>
  <c r="AZ14" i="1" s="1"/>
  <c r="AH12" i="1"/>
  <c r="BA12" i="1" s="1"/>
  <c r="AH10" i="1"/>
  <c r="BA10" i="1" s="1"/>
  <c r="AH9" i="1"/>
  <c r="BA9" i="1" s="1"/>
  <c r="BA5" i="1" s="1"/>
  <c r="AH11" i="1"/>
  <c r="BA11" i="1" s="1"/>
  <c r="AH13" i="1"/>
  <c r="BA13" i="1" s="1"/>
  <c r="AH14" i="1"/>
  <c r="BA14" i="1" s="1"/>
  <c r="S10" i="1"/>
  <c r="W10" i="1" s="1"/>
  <c r="T11" i="1"/>
  <c r="X11" i="1" s="1"/>
  <c r="S14" i="1"/>
  <c r="W14" i="1" s="1"/>
  <c r="T9" i="1"/>
  <c r="X9" i="1" s="1"/>
  <c r="U10" i="1"/>
  <c r="Y10" i="1" s="1"/>
  <c r="S12" i="1"/>
  <c r="W12" i="1" s="1"/>
  <c r="T13" i="1"/>
  <c r="X13" i="1" s="1"/>
  <c r="U14" i="1"/>
  <c r="Y14" i="1" s="1"/>
  <c r="U9" i="1"/>
  <c r="Y9" i="1" s="1"/>
  <c r="T12" i="1"/>
  <c r="X12" i="1" s="1"/>
  <c r="R10" i="1"/>
  <c r="V10" i="1" s="1"/>
  <c r="R14" i="1"/>
  <c r="V14" i="1" s="1"/>
  <c r="T10" i="1"/>
  <c r="X10" i="1" s="1"/>
  <c r="S13" i="1"/>
  <c r="W13" i="1" s="1"/>
  <c r="S11" i="1"/>
  <c r="W11" i="1" s="1"/>
  <c r="U13" i="1"/>
  <c r="Y13" i="1" s="1"/>
  <c r="R12" i="1"/>
  <c r="V12" i="1" s="1"/>
  <c r="S9" i="1"/>
  <c r="W9" i="1" s="1"/>
  <c r="U11" i="1"/>
  <c r="Y11" i="1" s="1"/>
  <c r="T14" i="1"/>
  <c r="X14" i="1" s="1"/>
  <c r="R9" i="1"/>
  <c r="V9" i="1" s="1"/>
  <c r="R11" i="1"/>
  <c r="V11" i="1" s="1"/>
  <c r="R13" i="1"/>
  <c r="V13" i="1" s="1"/>
  <c r="C20" i="7" l="1"/>
  <c r="AY5" i="1"/>
  <c r="Y5" i="1"/>
  <c r="E20" i="7" s="1"/>
  <c r="U5" i="1"/>
  <c r="D20" i="7" s="1"/>
  <c r="X5" i="1"/>
  <c r="E19" i="7" s="1"/>
  <c r="T5" i="1"/>
  <c r="D19" i="7" s="1"/>
  <c r="V5" i="1"/>
  <c r="R5" i="1"/>
  <c r="W5" i="1"/>
  <c r="E18" i="7" s="1"/>
  <c r="S5" i="1"/>
  <c r="D18" i="7" s="1"/>
  <c r="AH5" i="1"/>
  <c r="AG5" i="1"/>
  <c r="AF5" i="1"/>
  <c r="AJ13" i="1"/>
  <c r="BD13" i="1"/>
  <c r="AK13" i="1"/>
  <c r="BE13" i="1"/>
  <c r="AK12" i="1"/>
  <c r="BE12" i="1"/>
  <c r="AI14" i="1"/>
  <c r="BC14" i="1"/>
  <c r="AJ11" i="1"/>
  <c r="BD11" i="1"/>
  <c r="AI13" i="1"/>
  <c r="BC13" i="1"/>
  <c r="AK14" i="1"/>
  <c r="BE14" i="1"/>
  <c r="AJ14" i="1"/>
  <c r="BD14" i="1"/>
  <c r="AJ10" i="1"/>
  <c r="BD10" i="1"/>
  <c r="AI12" i="1"/>
  <c r="BC12" i="1"/>
  <c r="AJ9" i="1"/>
  <c r="AJ5" i="1" s="1"/>
  <c r="BD9" i="1"/>
  <c r="BD5" i="1" s="1"/>
  <c r="AI11" i="1"/>
  <c r="BC11" i="1"/>
  <c r="AK11" i="1"/>
  <c r="BE11" i="1"/>
  <c r="AK9" i="1"/>
  <c r="AK5" i="1" s="1"/>
  <c r="BE9" i="1"/>
  <c r="BE5" i="1" s="1"/>
  <c r="AK10" i="1"/>
  <c r="BE10" i="1"/>
  <c r="AJ12" i="1"/>
  <c r="BD12" i="1"/>
  <c r="AI10" i="1"/>
  <c r="BC10" i="1"/>
  <c r="AI9" i="1"/>
  <c r="AI5" i="1" s="1"/>
  <c r="BC9" i="1"/>
  <c r="BC5" i="1" s="1"/>
  <c r="M20" i="7"/>
  <c r="M19" i="7"/>
  <c r="M18" i="7"/>
  <c r="BF13" i="1" l="1"/>
  <c r="BF9" i="1"/>
  <c r="BF5" i="1" s="1"/>
  <c r="BF10" i="1"/>
  <c r="BF11" i="1"/>
  <c r="BF12" i="1"/>
  <c r="BF14" i="1"/>
  <c r="M6" i="7"/>
  <c r="K19" i="7"/>
  <c r="K18" i="7"/>
  <c r="K20" i="7"/>
  <c r="H20" i="7" l="1"/>
  <c r="G18" i="7" l="1"/>
  <c r="G19" i="7"/>
  <c r="H19" i="7"/>
  <c r="H18" i="7"/>
  <c r="G20" i="7"/>
</calcChain>
</file>

<file path=xl/sharedStrings.xml><?xml version="1.0" encoding="utf-8"?>
<sst xmlns="http://schemas.openxmlformats.org/spreadsheetml/2006/main" count="597" uniqueCount="337">
  <si>
    <t>height</t>
  </si>
  <si>
    <t>length</t>
  </si>
  <si>
    <t>type</t>
  </si>
  <si>
    <t>depth</t>
  </si>
  <si>
    <t>power</t>
  </si>
  <si>
    <t>n</t>
  </si>
  <si>
    <t>watervolume</t>
  </si>
  <si>
    <t>electrical power nominal</t>
  </si>
  <si>
    <t>soundpressure level</t>
  </si>
  <si>
    <t>lookup code</t>
  </si>
  <si>
    <t>Ti</t>
  </si>
  <si>
    <t>Tr</t>
  </si>
  <si>
    <t>Ta</t>
  </si>
  <si>
    <t>heating</t>
  </si>
  <si>
    <t>cooling</t>
  </si>
  <si>
    <t>16/18/27</t>
  </si>
  <si>
    <t>result</t>
  </si>
  <si>
    <t>flow</t>
  </si>
  <si>
    <t>lengte</t>
  </si>
  <si>
    <t>hoogte</t>
  </si>
  <si>
    <t>geselecteerd</t>
  </si>
  <si>
    <t>mm</t>
  </si>
  <si>
    <t>kolomindex</t>
  </si>
  <si>
    <t>EN16430</t>
  </si>
  <si>
    <t>*</t>
  </si>
  <si>
    <t>**</t>
  </si>
  <si>
    <t>75/65/20</t>
  </si>
  <si>
    <t>Nederlands</t>
  </si>
  <si>
    <t>English</t>
  </si>
  <si>
    <t>Français</t>
  </si>
  <si>
    <t>Deutsch</t>
  </si>
  <si>
    <t>Selectiontool Strada Hybrid</t>
  </si>
  <si>
    <t>Höhe</t>
  </si>
  <si>
    <t>Typ</t>
  </si>
  <si>
    <t>Tiefe</t>
  </si>
  <si>
    <t>Lüfter aus (richtwert)</t>
  </si>
  <si>
    <t>Auslegungsstufe 2</t>
  </si>
  <si>
    <t>Auslegungsstufe 3</t>
  </si>
  <si>
    <t>Length</t>
  </si>
  <si>
    <t>Heigth</t>
  </si>
  <si>
    <t>Type</t>
  </si>
  <si>
    <t>Depth</t>
  </si>
  <si>
    <t>Fans off (indicative value)</t>
  </si>
  <si>
    <t>Fan speed selection 2</t>
  </si>
  <si>
    <t>Fan speed selection 3</t>
  </si>
  <si>
    <t>Lengte</t>
  </si>
  <si>
    <t>Hoogte</t>
  </si>
  <si>
    <t>Diepte</t>
  </si>
  <si>
    <t>Statisch (indicatieve waarde)</t>
  </si>
  <si>
    <t>Ventilatorsnelheid 2</t>
  </si>
  <si>
    <t>Ventilatorsnelheid 3</t>
  </si>
  <si>
    <t>Vitesse du ventilateur 3</t>
  </si>
  <si>
    <t>Vitesse du ventilateur 2</t>
  </si>
  <si>
    <t>Ventilateur éteint (indicative)</t>
  </si>
  <si>
    <t>Puissance absorbée elec. [W]</t>
  </si>
  <si>
    <t>Electrical consumption [W]</t>
  </si>
  <si>
    <t>Elektrisch verbruik [W]</t>
  </si>
  <si>
    <t>Longeur</t>
  </si>
  <si>
    <t>Hauteur</t>
  </si>
  <si>
    <t>***</t>
  </si>
  <si>
    <t>Wanneer het watervolume in gallons wordt gegeven, zijn dit imperial gallons.</t>
  </si>
  <si>
    <t>Geluidsvermogen volgens ISO 3741:2010, Voor het geluidsdrukniveau is er een aangenomen kamerdemping van 8 dB(A).</t>
  </si>
  <si>
    <t>Soundpower according to ISO 3741:2010, sound pressure level with assumed room damping of 8 dB(A).</t>
  </si>
  <si>
    <t>Puissance acoustique selon ISO 3741: 2010, niveau de pression acoustique avec un amortissement de la pièce supposé de 8 dB(A).</t>
  </si>
  <si>
    <t>Schallleistung nach ISO 3741: 2010, Schalldruckpegel bei angenommener Raumdämpfung von 8 dB(A).</t>
  </si>
  <si>
    <t>When the water volume is given in gallons, the units are specifically imperial gallons.</t>
  </si>
  <si>
    <t>Lorsque le volume d'eau est donné en gallons, ce sont des gallons impérial.</t>
  </si>
  <si>
    <t>Wenn das Wasservolumen in Gallonen angegeben ist, sind dies imperiale Gallonen.</t>
  </si>
  <si>
    <t xml:space="preserve">Ventilatorsnelheid </t>
  </si>
  <si>
    <t xml:space="preserve">Auslegungsstufe </t>
  </si>
  <si>
    <t xml:space="preserve">Vitesse ventilateur </t>
  </si>
  <si>
    <t>BMS-stuurspanning</t>
  </si>
  <si>
    <t>Stuurspanning [v]</t>
  </si>
  <si>
    <t>Fan voltage [V]</t>
  </si>
  <si>
    <t>Tension ventilateur [V]</t>
  </si>
  <si>
    <t>Lufterspannung [V]</t>
  </si>
  <si>
    <t>Invulformulier</t>
  </si>
  <si>
    <t>Formulary</t>
  </si>
  <si>
    <t>Eingabefelder</t>
  </si>
  <si>
    <t>Formulaire</t>
  </si>
  <si>
    <t>Temperaturen</t>
  </si>
  <si>
    <t>Temperatures</t>
  </si>
  <si>
    <t>Températures</t>
  </si>
  <si>
    <t>Länge</t>
  </si>
  <si>
    <t>Elektr. Leistung [W]</t>
  </si>
  <si>
    <t>SHF 1</t>
  </si>
  <si>
    <t>SHF 2</t>
  </si>
  <si>
    <t>SHF 3</t>
  </si>
  <si>
    <t>Q,t 1</t>
  </si>
  <si>
    <t>Q,t 2</t>
  </si>
  <si>
    <t>Q,t 3</t>
  </si>
  <si>
    <t>ΔQ,t,s 1</t>
  </si>
  <si>
    <t>ΔQ,t,s 2</t>
  </si>
  <si>
    <t>ΔQ,t,s 3</t>
  </si>
  <si>
    <t>OK/NOTOK</t>
  </si>
  <si>
    <t>RH</t>
  </si>
  <si>
    <t>Sensible heat factor</t>
  </si>
  <si>
    <t>Total cooling capacity</t>
  </si>
  <si>
    <t>Diff. Total and sensible</t>
  </si>
  <si>
    <t>Show or not</t>
  </si>
  <si>
    <t>Primo</t>
  </si>
  <si>
    <t>Kirei</t>
  </si>
  <si>
    <t>N/A</t>
  </si>
  <si>
    <t>Lengde</t>
  </si>
  <si>
    <t>Inngangsskjema</t>
  </si>
  <si>
    <t>Statisk modell</t>
  </si>
  <si>
    <t>Unit</t>
  </si>
  <si>
    <t>Høyde</t>
  </si>
  <si>
    <t>Versjon</t>
  </si>
  <si>
    <t>Hybrid modell</t>
  </si>
  <si>
    <t>Enhetssystem</t>
  </si>
  <si>
    <t>Temperaturer</t>
  </si>
  <si>
    <t>DBH rail type</t>
  </si>
  <si>
    <t>Modell</t>
  </si>
  <si>
    <t>Bredde</t>
  </si>
  <si>
    <t>Trykktap</t>
  </si>
  <si>
    <t>Varme:</t>
  </si>
  <si>
    <t>Kjøling:</t>
  </si>
  <si>
    <t>Tur vann</t>
  </si>
  <si>
    <t>Retur vann</t>
  </si>
  <si>
    <t>Rom (tørr pære)</t>
  </si>
  <si>
    <t>Vannvolum</t>
  </si>
  <si>
    <t>Elektrisk effekt [W]</t>
  </si>
  <si>
    <t>Lydtrykk [dB(A)]****</t>
  </si>
  <si>
    <t>Lydeffekt [dB(A)]****</t>
  </si>
  <si>
    <t>Varme effekt</t>
  </si>
  <si>
    <t>Vannmengde</t>
  </si>
  <si>
    <t>Kjøle effekt</t>
  </si>
  <si>
    <t>Styresignal</t>
  </si>
  <si>
    <t>Viftespenning [V]</t>
  </si>
  <si>
    <t>Kjølekapasitet beregnes i henhold til EN16430 med viftene som blåser oppover for alle typer.</t>
  </si>
  <si>
    <t>Når vannvolumet er gitt i gallon, er dette imperial gallons.</t>
  </si>
  <si>
    <t>Lydeffekt i henhold til ISO 3741: 2010. For lydtrykknivået er det en antatt romdemping på 8 dB (A).</t>
  </si>
  <si>
    <t>Longitud</t>
  </si>
  <si>
    <t>Dispositivo estático</t>
  </si>
  <si>
    <t>Altura</t>
  </si>
  <si>
    <t>Versión</t>
  </si>
  <si>
    <t>Dispositivo Hybrid</t>
  </si>
  <si>
    <t>Convers. de unidades</t>
  </si>
  <si>
    <t>Tipo</t>
  </si>
  <si>
    <t>Temperaturas</t>
  </si>
  <si>
    <t>tipo de riel DBH</t>
  </si>
  <si>
    <t>Despositivo</t>
  </si>
  <si>
    <t>Profund.</t>
  </si>
  <si>
    <t>Pérdida de carga del agua</t>
  </si>
  <si>
    <t>Calefacción:</t>
  </si>
  <si>
    <t>Enfriamiento:</t>
  </si>
  <si>
    <t>Agua impulsión</t>
  </si>
  <si>
    <t>Agua retorno</t>
  </si>
  <si>
    <t>Ambiente (bulbo seco)</t>
  </si>
  <si>
    <t>Volumen de agua</t>
  </si>
  <si>
    <t>Potencia eléctrica absorbida [W]</t>
  </si>
  <si>
    <t>Presión sonora [dB(A)]****</t>
  </si>
  <si>
    <t>Potencia sonora [dB(A)]****</t>
  </si>
  <si>
    <t>Emisión calefacción</t>
  </si>
  <si>
    <t>Caudal de agua, calefacción</t>
  </si>
  <si>
    <t>Emisión sensible Frío</t>
  </si>
  <si>
    <t>Velocidad del ventilador</t>
  </si>
  <si>
    <t xml:space="preserve"> Voltaje control [V]</t>
  </si>
  <si>
    <t>La potencia de enfriamiento se calcula según la norma EN 16430 con ventiladores de todas las alturas.</t>
  </si>
  <si>
    <t>Cuando el volumen de agua se da en galones, las unidades son específicamente galones imperiales.</t>
  </si>
  <si>
    <t>Potencia sonora según ISO 3741: 2010, nivel de presión acústica con una amortiguación ambiental supuesta de 8 dB (A).</t>
  </si>
  <si>
    <t>Appareil statique</t>
  </si>
  <si>
    <t>Unité</t>
  </si>
  <si>
    <t>Version</t>
  </si>
  <si>
    <t>Appareil Hybrid</t>
  </si>
  <si>
    <t>Système unitaire</t>
  </si>
  <si>
    <t>Appareil</t>
  </si>
  <si>
    <t>Perte de charge</t>
  </si>
  <si>
    <t>Chauffer:</t>
  </si>
  <si>
    <t>Refroidir:</t>
  </si>
  <si>
    <t>Entrée de l'eau</t>
  </si>
  <si>
    <t>Retour de l'eau</t>
  </si>
  <si>
    <t>Ambiante (bulbe sec)</t>
  </si>
  <si>
    <t>Volume d'eau</t>
  </si>
  <si>
    <t>Pression sonore [dB(A)]****</t>
  </si>
  <si>
    <t>Puissance sonore [dB(A)]****</t>
  </si>
  <si>
    <t>Puissance de chauffer</t>
  </si>
  <si>
    <t>Débit d'eau</t>
  </si>
  <si>
    <t>Puissance de refroidir</t>
  </si>
  <si>
    <t>La puissance de refroidissement est calculée selon EN 16430 avec des ventilateurs qui soufflent pour toutes les hauteurs.</t>
  </si>
  <si>
    <t>Statisches Gerät</t>
  </si>
  <si>
    <t>Ausführung</t>
  </si>
  <si>
    <t>Hybrid Gerät</t>
  </si>
  <si>
    <t>Einheiten</t>
  </si>
  <si>
    <t>DBH rail typ</t>
  </si>
  <si>
    <t>Gerät</t>
  </si>
  <si>
    <t>zug. wassers. Druckverlust</t>
  </si>
  <si>
    <t>Heizen:</t>
  </si>
  <si>
    <t>Kühlen:</t>
  </si>
  <si>
    <t>Vorlauf wasser</t>
  </si>
  <si>
    <t>Rücklauf wasser</t>
  </si>
  <si>
    <t>Raum (trocken)</t>
  </si>
  <si>
    <t>Wasservolumen</t>
  </si>
  <si>
    <t>Schalldruckpegel [dB(A)]****</t>
  </si>
  <si>
    <t>Schallleistungspegel [dB(A)]****</t>
  </si>
  <si>
    <t>Heizleistung</t>
  </si>
  <si>
    <t>Heizmittelstrom</t>
  </si>
  <si>
    <t>Kühlleistung</t>
  </si>
  <si>
    <t>Kühlmittelstrom</t>
  </si>
  <si>
    <t>Die Kühlleistung wird nach EN 16430 berechnet, wobei die Lüfter für alle Höhen hochgehen.</t>
  </si>
  <si>
    <t>Static device</t>
  </si>
  <si>
    <t>Hybrid device</t>
  </si>
  <si>
    <t>Unit conversion</t>
  </si>
  <si>
    <t>Device</t>
  </si>
  <si>
    <t xml:space="preserve">Water side pressure loss </t>
  </si>
  <si>
    <t>Heating:</t>
  </si>
  <si>
    <t>Cooling:</t>
  </si>
  <si>
    <t>Supply water</t>
  </si>
  <si>
    <t>Return water</t>
  </si>
  <si>
    <t>Entering air (dry bulb)</t>
  </si>
  <si>
    <t>Water volume</t>
  </si>
  <si>
    <t>Sound pressure level [dB(A)]****</t>
  </si>
  <si>
    <t>Sound power [dB(A)]****</t>
  </si>
  <si>
    <t>Heating capacity</t>
  </si>
  <si>
    <t>Water flow</t>
  </si>
  <si>
    <t>Cooling capacity</t>
  </si>
  <si>
    <t>Fan speed</t>
  </si>
  <si>
    <t>Cooling power is calcullated according EN16430 with fans blowing up for all heights.</t>
  </si>
  <si>
    <t>Statisch toestel</t>
  </si>
  <si>
    <t>Uitvoering</t>
  </si>
  <si>
    <t>Hybrid toestel</t>
  </si>
  <si>
    <t>Eenheidsstelsel</t>
  </si>
  <si>
    <t>Toestel</t>
  </si>
  <si>
    <t>Waterzijdig drukverlies</t>
  </si>
  <si>
    <t>Verwarmen:</t>
  </si>
  <si>
    <t>Koelen:</t>
  </si>
  <si>
    <t>Water aanvoer</t>
  </si>
  <si>
    <t>Water retour</t>
  </si>
  <si>
    <t>Ruimte (droge bol)</t>
  </si>
  <si>
    <t>Watervolume</t>
  </si>
  <si>
    <t>Geluidsdrukniveau [dB(A)]****</t>
  </si>
  <si>
    <t>Geluidsvermogen [dB(A)]****</t>
  </si>
  <si>
    <t>Verwarmvermogen</t>
  </si>
  <si>
    <t>Waterdebiet</t>
  </si>
  <si>
    <t>Koelvermogen</t>
  </si>
  <si>
    <t>Koelvermogen is berekend volgens EN16430 met de ventilatoren naar boven blazend voor alle types.</t>
  </si>
  <si>
    <t>Selectiontool Vertiga Hybrid</t>
  </si>
  <si>
    <t>Norsk</t>
  </si>
  <si>
    <t>Español</t>
  </si>
  <si>
    <t>rel. vocht.</t>
  </si>
  <si>
    <t>rel. humid.</t>
  </si>
  <si>
    <t>hum. rel.</t>
  </si>
  <si>
    <t>rel. Luftf.</t>
  </si>
  <si>
    <t>rel. fuktighet</t>
  </si>
  <si>
    <t>Hum. Relativa</t>
  </si>
  <si>
    <t>Kopieer alle data</t>
  </si>
  <si>
    <t>DBH set</t>
  </si>
  <si>
    <t>SI-eenheden</t>
  </si>
  <si>
    <t>Imperiale-eenheden</t>
  </si>
  <si>
    <t>Indien de ventilatoren uitgeschakeld zijn, is de afgifte een indicatieve waarde.</t>
  </si>
  <si>
    <t>Copy all data</t>
  </si>
  <si>
    <t>SI-units</t>
  </si>
  <si>
    <t>Imperial-units</t>
  </si>
  <si>
    <t>If the fans are switched off, the output is an indicative value.</t>
  </si>
  <si>
    <t>Copier toutes des données</t>
  </si>
  <si>
    <t>Unités-SI</t>
  </si>
  <si>
    <t>Unités-Impériales</t>
  </si>
  <si>
    <t>Profondeur</t>
  </si>
  <si>
    <t>Si les ventilateurs sont éteints, la sortie est une valeur indicative.</t>
  </si>
  <si>
    <t>Kopieren Sie alle daten</t>
  </si>
  <si>
    <t>SI-einheiten</t>
  </si>
  <si>
    <t>Imperiale-einheiten</t>
  </si>
  <si>
    <t>Wenn die Lüfter ausgeschaltet sind, ist der Ausgang ein Richtwert.</t>
  </si>
  <si>
    <t>Kopier alle data</t>
  </si>
  <si>
    <t>SI-enheter</t>
  </si>
  <si>
    <t>Imperiale-enheter</t>
  </si>
  <si>
    <t>Hvis viftene er slått av, er utgangen en indikativ verdi.</t>
  </si>
  <si>
    <t>Copiar todos los datos</t>
  </si>
  <si>
    <t>Unidades-SI</t>
  </si>
  <si>
    <t>Unidades-Imperial</t>
  </si>
  <si>
    <t>La velocidad del ventilador en "0" tiene una emisión indicativa.</t>
  </si>
  <si>
    <t>Längd</t>
  </si>
  <si>
    <t>rel. Fuktighet</t>
  </si>
  <si>
    <t>Kopiera all data</t>
  </si>
  <si>
    <t>Höjd</t>
  </si>
  <si>
    <t>Storlek</t>
  </si>
  <si>
    <t>Imperiella-enheter</t>
  </si>
  <si>
    <t>Djup</t>
  </si>
  <si>
    <t>Om fläktarna är avstängda är utgången ett indikationsvärde.</t>
  </si>
  <si>
    <t>Tryckfall, vatten</t>
  </si>
  <si>
    <t>Värme:</t>
  </si>
  <si>
    <t>Kyla:</t>
  </si>
  <si>
    <t>Tillopp</t>
  </si>
  <si>
    <t>Retur</t>
  </si>
  <si>
    <t>Rum (torr)</t>
  </si>
  <si>
    <t>Vattenvolym</t>
  </si>
  <si>
    <t>Effektförbrukning [W]</t>
  </si>
  <si>
    <t>Ljudtryck [dB(A)]****</t>
  </si>
  <si>
    <t>Ljudeffekt [dB(A)]****</t>
  </si>
  <si>
    <t>Effekt</t>
  </si>
  <si>
    <t>Vattenflöde</t>
  </si>
  <si>
    <t>Kyleffekt</t>
  </si>
  <si>
    <t>Fläkthastighet</t>
  </si>
  <si>
    <t>Spänning, Fläkt [V]</t>
  </si>
  <si>
    <t>Kyleffekt är beräknad enligt EN16430 med fläktar blåsandes i riktning uppåt för alla höjder</t>
  </si>
  <si>
    <t>När vattenvolymen är given i gallon avser det Imperiella gallon.</t>
  </si>
  <si>
    <t>Ljudeffekt enligt ISO 3741:2010 ljudtryck med antagen ljudreduktion från rummet på 8 dB(A)</t>
  </si>
  <si>
    <t>Délka</t>
  </si>
  <si>
    <t>Relativní vlhkost</t>
  </si>
  <si>
    <t>Jednotka</t>
  </si>
  <si>
    <t>Kopírovat všechna data</t>
  </si>
  <si>
    <t>Výška</t>
  </si>
  <si>
    <t>Verze</t>
  </si>
  <si>
    <t>Hybridní jednotka</t>
  </si>
  <si>
    <t>Převod jednotek</t>
  </si>
  <si>
    <t>DBH sada</t>
  </si>
  <si>
    <t>Mezinárodní (Sl)</t>
  </si>
  <si>
    <t>Teploty</t>
  </si>
  <si>
    <t>Imperiální</t>
  </si>
  <si>
    <t>Hloubka</t>
  </si>
  <si>
    <t>Pokud jsou ventilátory vypnuté, je výkon pouze orientační.</t>
  </si>
  <si>
    <t>Tlaková ztráta</t>
  </si>
  <si>
    <t>Topení:</t>
  </si>
  <si>
    <t>Chlazení:</t>
  </si>
  <si>
    <t>Voda na přívodu</t>
  </si>
  <si>
    <t>Voda na zpátečce</t>
  </si>
  <si>
    <t>Objem vody</t>
  </si>
  <si>
    <t>Akustický tlak [dB(A)]****</t>
  </si>
  <si>
    <t>Akustický výkon [dB(A)]****</t>
  </si>
  <si>
    <t>Výkon Topení</t>
  </si>
  <si>
    <t>Výkon Chlazení</t>
  </si>
  <si>
    <t>Rychlost otáček ventilátoru</t>
  </si>
  <si>
    <t>Napětí ventilárotu [V]</t>
  </si>
  <si>
    <t>Chladicí výkon vypočítán podle EN 16430  s ventilátory, které u všech typů - výšek foukají nahoru.</t>
  </si>
  <si>
    <t>Akustický výkon podle ISO 3741: 2010, hladina akustického tlaku s předpokládaným útlumem místnosti o 8 dB (A).</t>
  </si>
  <si>
    <t>Svenska</t>
  </si>
  <si>
    <t>Čeština</t>
  </si>
  <si>
    <t>ExtraTaal1</t>
  </si>
  <si>
    <t>ExtraTaal2</t>
  </si>
  <si>
    <t>ExtraTaal3</t>
  </si>
  <si>
    <t>Taal/Language/Sprache/Språk/Jazyk</t>
  </si>
  <si>
    <t>Statická jednotka</t>
  </si>
  <si>
    <t>Průtok vody</t>
  </si>
  <si>
    <t>"Suchá" teplota vzduchu</t>
  </si>
  <si>
    <t>Elektrický výkon [W]</t>
  </si>
  <si>
    <t>v2022-09-30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</si>
</sst>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darkGrid">
        <bgColor theme="8" tint="0.79998168889431442"/>
      </patternFill>
    </fill>
    <fill>
      <patternFill patternType="darkGrid">
        <bgColor theme="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/>
    </fill>
    <fill>
      <patternFill patternType="lightGray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5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 textRotation="9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1" fontId="0" fillId="0" borderId="0" xfId="0" applyNumberFormat="1"/>
    <xf numFmtId="1" fontId="0" fillId="0" borderId="1" xfId="0" applyNumberFormat="1" applyBorder="1"/>
    <xf numFmtId="0" fontId="0" fillId="0" borderId="18" xfId="0" applyBorder="1"/>
    <xf numFmtId="164" fontId="0" fillId="0" borderId="0" xfId="0" applyNumberFormat="1"/>
    <xf numFmtId="0" fontId="0" fillId="8" borderId="15" xfId="0" applyFill="1" applyBorder="1" applyAlignment="1" applyProtection="1">
      <alignment horizontal="center"/>
      <protection hidden="1"/>
    </xf>
    <xf numFmtId="0" fontId="0" fillId="8" borderId="17" xfId="0" applyFill="1" applyBorder="1" applyAlignment="1" applyProtection="1">
      <alignment horizontal="center"/>
      <protection hidden="1"/>
    </xf>
    <xf numFmtId="0" fontId="0" fillId="11" borderId="15" xfId="0" applyFill="1" applyBorder="1" applyAlignment="1" applyProtection="1">
      <alignment horizontal="center"/>
      <protection hidden="1"/>
    </xf>
    <xf numFmtId="0" fontId="0" fillId="11" borderId="16" xfId="0" applyFill="1" applyBorder="1" applyAlignment="1" applyProtection="1">
      <alignment horizontal="center"/>
      <protection hidden="1"/>
    </xf>
    <xf numFmtId="164" fontId="0" fillId="7" borderId="3" xfId="0" applyNumberFormat="1" applyFill="1" applyBorder="1" applyAlignment="1" applyProtection="1">
      <alignment horizontal="center"/>
      <protection hidden="1"/>
    </xf>
    <xf numFmtId="0" fontId="0" fillId="12" borderId="3" xfId="0" applyFill="1" applyBorder="1" applyAlignment="1" applyProtection="1">
      <alignment horizontal="center"/>
      <protection hidden="1"/>
    </xf>
    <xf numFmtId="0" fontId="0" fillId="12" borderId="16" xfId="0" applyFill="1" applyBorder="1" applyAlignment="1" applyProtection="1">
      <alignment horizontal="center"/>
      <protection hidden="1"/>
    </xf>
    <xf numFmtId="0" fontId="0" fillId="8" borderId="4" xfId="0" applyFill="1" applyBorder="1" applyAlignment="1" applyProtection="1">
      <alignment horizontal="center"/>
      <protection hidden="1"/>
    </xf>
    <xf numFmtId="0" fontId="0" fillId="8" borderId="11" xfId="0" applyFill="1" applyBorder="1" applyAlignment="1" applyProtection="1">
      <alignment horizontal="center"/>
      <protection hidden="1"/>
    </xf>
    <xf numFmtId="0" fontId="0" fillId="9" borderId="4" xfId="0" applyFill="1" applyBorder="1" applyAlignment="1" applyProtection="1">
      <alignment horizontal="center"/>
      <protection hidden="1"/>
    </xf>
    <xf numFmtId="0" fontId="0" fillId="9" borderId="5" xfId="0" applyFill="1" applyBorder="1" applyAlignment="1" applyProtection="1">
      <alignment horizontal="center"/>
      <protection hidden="1"/>
    </xf>
    <xf numFmtId="164" fontId="0" fillId="7" borderId="12" xfId="0" applyNumberFormat="1" applyFill="1" applyBorder="1" applyAlignment="1" applyProtection="1">
      <alignment horizontal="center"/>
      <protection hidden="1"/>
    </xf>
    <xf numFmtId="0" fontId="0" fillId="7" borderId="12" xfId="0" applyFill="1" applyBorder="1" applyAlignment="1" applyProtection="1">
      <alignment horizontal="center"/>
      <protection hidden="1"/>
    </xf>
    <xf numFmtId="0" fontId="0" fillId="7" borderId="5" xfId="0" applyFill="1" applyBorder="1" applyAlignment="1" applyProtection="1">
      <alignment horizontal="center"/>
      <protection hidden="1"/>
    </xf>
    <xf numFmtId="164" fontId="0" fillId="7" borderId="13" xfId="0" applyNumberFormat="1" applyFill="1" applyBorder="1" applyAlignment="1" applyProtection="1">
      <alignment horizontal="center"/>
      <protection hidden="1"/>
    </xf>
    <xf numFmtId="0" fontId="0" fillId="7" borderId="13" xfId="0" applyFill="1" applyBorder="1" applyAlignment="1" applyProtection="1">
      <alignment horizontal="center"/>
      <protection hidden="1"/>
    </xf>
    <xf numFmtId="0" fontId="0" fillId="7" borderId="7" xfId="0" applyFill="1" applyBorder="1" applyAlignment="1" applyProtection="1">
      <alignment horizontal="center"/>
      <protection hidden="1"/>
    </xf>
    <xf numFmtId="0" fontId="0" fillId="8" borderId="8" xfId="0" applyFill="1" applyBorder="1" applyAlignment="1" applyProtection="1">
      <alignment horizontal="center"/>
      <protection hidden="1"/>
    </xf>
    <xf numFmtId="0" fontId="0" fillId="8" borderId="10" xfId="0" applyFill="1" applyBorder="1" applyAlignment="1" applyProtection="1">
      <alignment horizontal="center"/>
      <protection hidden="1"/>
    </xf>
    <xf numFmtId="0" fontId="0" fillId="9" borderId="8" xfId="0" applyFill="1" applyBorder="1" applyAlignment="1" applyProtection="1">
      <alignment horizontal="center"/>
      <protection hidden="1"/>
    </xf>
    <xf numFmtId="0" fontId="0" fillId="9" borderId="9" xfId="0" applyFill="1" applyBorder="1" applyAlignment="1" applyProtection="1">
      <alignment horizontal="center"/>
      <protection hidden="1"/>
    </xf>
    <xf numFmtId="164" fontId="0" fillId="7" borderId="14" xfId="0" applyNumberFormat="1" applyFill="1" applyBorder="1" applyAlignment="1" applyProtection="1">
      <alignment horizontal="center"/>
      <protection hidden="1"/>
    </xf>
    <xf numFmtId="0" fontId="0" fillId="7" borderId="14" xfId="0" applyFill="1" applyBorder="1" applyAlignment="1" applyProtection="1">
      <alignment horizontal="center"/>
      <protection hidden="1"/>
    </xf>
    <xf numFmtId="0" fontId="0" fillId="7" borderId="9" xfId="0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0" fontId="0" fillId="10" borderId="0" xfId="0" applyFill="1" applyAlignment="1" applyProtection="1">
      <alignment horizontal="right"/>
      <protection hidden="1"/>
    </xf>
    <xf numFmtId="0" fontId="0" fillId="7" borderId="4" xfId="0" applyFill="1" applyBorder="1" applyAlignment="1" applyProtection="1">
      <alignment horizontal="right"/>
      <protection hidden="1"/>
    </xf>
    <xf numFmtId="0" fontId="0" fillId="7" borderId="5" xfId="0" applyFill="1" applyBorder="1" applyProtection="1">
      <protection hidden="1"/>
    </xf>
    <xf numFmtId="0" fontId="0" fillId="7" borderId="6" xfId="0" applyFill="1" applyBorder="1" applyAlignment="1" applyProtection="1">
      <alignment horizontal="right"/>
      <protection hidden="1"/>
    </xf>
    <xf numFmtId="0" fontId="0" fillId="7" borderId="7" xfId="0" applyFill="1" applyBorder="1" applyProtection="1">
      <protection hidden="1"/>
    </xf>
    <xf numFmtId="0" fontId="0" fillId="7" borderId="8" xfId="0" applyFill="1" applyBorder="1" applyAlignment="1" applyProtection="1">
      <alignment horizontal="right"/>
      <protection hidden="1"/>
    </xf>
    <xf numFmtId="0" fontId="0" fillId="7" borderId="10" xfId="0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3" fillId="8" borderId="4" xfId="0" applyFont="1" applyFill="1" applyBorder="1" applyAlignment="1" applyProtection="1">
      <alignment horizontal="right"/>
      <protection hidden="1"/>
    </xf>
    <xf numFmtId="0" fontId="0" fillId="8" borderId="11" xfId="0" applyFill="1" applyBorder="1" applyProtection="1">
      <protection hidden="1"/>
    </xf>
    <xf numFmtId="0" fontId="0" fillId="8" borderId="5" xfId="0" applyFill="1" applyBorder="1" applyProtection="1">
      <protection hidden="1"/>
    </xf>
    <xf numFmtId="0" fontId="0" fillId="9" borderId="4" xfId="0" applyFill="1" applyBorder="1" applyProtection="1">
      <protection hidden="1"/>
    </xf>
    <xf numFmtId="0" fontId="0" fillId="9" borderId="11" xfId="0" applyFill="1" applyBorder="1" applyProtection="1">
      <protection hidden="1"/>
    </xf>
    <xf numFmtId="0" fontId="3" fillId="9" borderId="11" xfId="0" applyFont="1" applyFill="1" applyBorder="1" applyAlignment="1" applyProtection="1">
      <alignment horizontal="right"/>
      <protection hidden="1"/>
    </xf>
    <xf numFmtId="0" fontId="0" fillId="9" borderId="5" xfId="0" applyFill="1" applyBorder="1" applyProtection="1">
      <protection hidden="1"/>
    </xf>
    <xf numFmtId="0" fontId="0" fillId="8" borderId="6" xfId="0" applyFill="1" applyBorder="1" applyAlignment="1" applyProtection="1">
      <alignment horizontal="right"/>
      <protection hidden="1"/>
    </xf>
    <xf numFmtId="0" fontId="0" fillId="8" borderId="7" xfId="0" applyFill="1" applyBorder="1" applyProtection="1">
      <protection hidden="1"/>
    </xf>
    <xf numFmtId="0" fontId="0" fillId="9" borderId="7" xfId="0" applyFill="1" applyBorder="1" applyProtection="1">
      <protection hidden="1"/>
    </xf>
    <xf numFmtId="0" fontId="0" fillId="8" borderId="8" xfId="0" applyFill="1" applyBorder="1" applyAlignment="1" applyProtection="1">
      <alignment horizontal="right"/>
      <protection hidden="1"/>
    </xf>
    <xf numFmtId="0" fontId="0" fillId="9" borderId="9" xfId="0" applyFill="1" applyBorder="1" applyProtection="1">
      <protection hidden="1"/>
    </xf>
    <xf numFmtId="0" fontId="0" fillId="8" borderId="6" xfId="0" applyFill="1" applyBorder="1" applyProtection="1">
      <protection hidden="1"/>
    </xf>
    <xf numFmtId="0" fontId="0" fillId="8" borderId="0" xfId="0" applyFill="1" applyProtection="1">
      <protection hidden="1"/>
    </xf>
    <xf numFmtId="0" fontId="0" fillId="9" borderId="6" xfId="0" applyFill="1" applyBorder="1" applyProtection="1">
      <protection hidden="1"/>
    </xf>
    <xf numFmtId="0" fontId="0" fillId="10" borderId="0" xfId="0" applyFill="1" applyAlignment="1" applyProtection="1">
      <alignment horizontal="center" textRotation="90"/>
      <protection hidden="1"/>
    </xf>
    <xf numFmtId="0" fontId="0" fillId="8" borderId="6" xfId="0" applyFill="1" applyBorder="1" applyAlignment="1" applyProtection="1">
      <alignment horizontal="center" textRotation="90"/>
      <protection hidden="1"/>
    </xf>
    <xf numFmtId="0" fontId="0" fillId="8" borderId="0" xfId="0" applyFill="1" applyAlignment="1" applyProtection="1">
      <alignment horizontal="center" textRotation="90"/>
      <protection hidden="1"/>
    </xf>
    <xf numFmtId="0" fontId="0" fillId="9" borderId="6" xfId="0" applyFill="1" applyBorder="1" applyAlignment="1" applyProtection="1">
      <alignment horizontal="center" textRotation="90"/>
      <protection hidden="1"/>
    </xf>
    <xf numFmtId="0" fontId="0" fillId="9" borderId="7" xfId="0" applyFill="1" applyBorder="1" applyAlignment="1" applyProtection="1">
      <alignment horizontal="center" textRotation="90"/>
      <protection hidden="1"/>
    </xf>
    <xf numFmtId="0" fontId="2" fillId="7" borderId="11" xfId="0" applyFont="1" applyFill="1" applyBorder="1" applyAlignment="1" applyProtection="1">
      <alignment horizontal="right"/>
      <protection hidden="1"/>
    </xf>
    <xf numFmtId="0" fontId="2" fillId="7" borderId="0" xfId="0" applyFont="1" applyFill="1" applyAlignment="1" applyProtection="1">
      <alignment horizontal="right"/>
      <protection hidden="1"/>
    </xf>
    <xf numFmtId="0" fontId="2" fillId="7" borderId="10" xfId="0" applyFont="1" applyFill="1" applyBorder="1" applyAlignment="1" applyProtection="1">
      <alignment horizontal="right"/>
      <protection hidden="1"/>
    </xf>
    <xf numFmtId="0" fontId="7" fillId="10" borderId="0" xfId="0" applyFont="1" applyFill="1" applyAlignment="1" applyProtection="1">
      <alignment horizontal="right"/>
      <protection hidden="1"/>
    </xf>
    <xf numFmtId="0" fontId="5" fillId="10" borderId="0" xfId="0" applyFont="1" applyFill="1" applyAlignment="1" applyProtection="1">
      <alignment horizontal="right"/>
      <protection hidden="1"/>
    </xf>
    <xf numFmtId="0" fontId="5" fillId="10" borderId="0" xfId="0" applyFont="1" applyFill="1" applyProtection="1">
      <protection hidden="1"/>
    </xf>
    <xf numFmtId="1" fontId="0" fillId="8" borderId="23" xfId="0" applyNumberFormat="1" applyFill="1" applyBorder="1" applyAlignment="1" applyProtection="1">
      <alignment horizontal="center"/>
      <protection locked="0"/>
    </xf>
    <xf numFmtId="0" fontId="8" fillId="13" borderId="0" xfId="0" applyFont="1" applyFill="1" applyProtection="1">
      <protection hidden="1"/>
    </xf>
    <xf numFmtId="0" fontId="0" fillId="13" borderId="0" xfId="0" applyFill="1" applyProtection="1">
      <protection hidden="1"/>
    </xf>
    <xf numFmtId="0" fontId="12" fillId="13" borderId="0" xfId="0" applyFont="1" applyFill="1" applyProtection="1">
      <protection hidden="1"/>
    </xf>
    <xf numFmtId="0" fontId="8" fillId="14" borderId="28" xfId="0" applyFont="1" applyFill="1" applyBorder="1" applyProtection="1">
      <protection hidden="1"/>
    </xf>
    <xf numFmtId="0" fontId="0" fillId="14" borderId="29" xfId="0" applyFill="1" applyBorder="1" applyProtection="1">
      <protection hidden="1"/>
    </xf>
    <xf numFmtId="0" fontId="0" fillId="14" borderId="0" xfId="0" applyFill="1" applyProtection="1">
      <protection hidden="1"/>
    </xf>
    <xf numFmtId="0" fontId="8" fillId="14" borderId="30" xfId="0" applyFont="1" applyFill="1" applyBorder="1" applyProtection="1">
      <protection hidden="1"/>
    </xf>
    <xf numFmtId="0" fontId="8" fillId="14" borderId="0" xfId="0" applyFont="1" applyFill="1" applyProtection="1">
      <protection hidden="1"/>
    </xf>
    <xf numFmtId="0" fontId="0" fillId="14" borderId="31" xfId="0" applyFill="1" applyBorder="1" applyProtection="1">
      <protection hidden="1"/>
    </xf>
    <xf numFmtId="0" fontId="0" fillId="14" borderId="30" xfId="0" applyFill="1" applyBorder="1" applyProtection="1">
      <protection hidden="1"/>
    </xf>
    <xf numFmtId="0" fontId="8" fillId="14" borderId="32" xfId="0" applyFont="1" applyFill="1" applyBorder="1" applyAlignment="1" applyProtection="1">
      <alignment horizontal="left"/>
      <protection hidden="1"/>
    </xf>
    <xf numFmtId="0" fontId="8" fillId="14" borderId="27" xfId="0" applyFont="1" applyFill="1" applyBorder="1" applyAlignment="1" applyProtection="1">
      <alignment horizontal="left"/>
      <protection hidden="1"/>
    </xf>
    <xf numFmtId="0" fontId="0" fillId="14" borderId="27" xfId="0" applyFill="1" applyBorder="1" applyProtection="1">
      <protection hidden="1"/>
    </xf>
    <xf numFmtId="165" fontId="15" fillId="13" borderId="27" xfId="0" applyNumberFormat="1" applyFont="1" applyFill="1" applyBorder="1" applyAlignment="1" applyProtection="1">
      <alignment horizontal="center"/>
      <protection hidden="1"/>
    </xf>
    <xf numFmtId="0" fontId="15" fillId="13" borderId="27" xfId="0" applyFont="1" applyFill="1" applyBorder="1" applyProtection="1">
      <protection hidden="1"/>
    </xf>
    <xf numFmtId="0" fontId="8" fillId="14" borderId="33" xfId="0" applyFont="1" applyFill="1" applyBorder="1" applyAlignment="1" applyProtection="1">
      <alignment horizontal="center" vertical="center" textRotation="90" wrapText="1"/>
      <protection hidden="1"/>
    </xf>
    <xf numFmtId="0" fontId="8" fillId="14" borderId="34" xfId="0" applyFont="1" applyFill="1" applyBorder="1" applyAlignment="1" applyProtection="1">
      <alignment horizontal="center" vertical="center" textRotation="90" wrapText="1"/>
      <protection hidden="1"/>
    </xf>
    <xf numFmtId="0" fontId="16" fillId="14" borderId="33" xfId="0" applyFont="1" applyFill="1" applyBorder="1" applyAlignment="1" applyProtection="1">
      <alignment horizontal="center" vertical="center" textRotation="90" wrapText="1"/>
      <protection hidden="1"/>
    </xf>
    <xf numFmtId="0" fontId="8" fillId="14" borderId="35" xfId="0" applyFont="1" applyFill="1" applyBorder="1" applyAlignment="1" applyProtection="1">
      <alignment horizontal="center" vertical="center" textRotation="90" wrapText="1"/>
      <protection hidden="1"/>
    </xf>
    <xf numFmtId="0" fontId="17" fillId="14" borderId="33" xfId="0" applyFont="1" applyFill="1" applyBorder="1" applyAlignment="1" applyProtection="1">
      <alignment horizontal="center" vertical="center" textRotation="90" wrapText="1"/>
      <protection hidden="1"/>
    </xf>
    <xf numFmtId="0" fontId="18" fillId="14" borderId="33" xfId="0" applyFont="1" applyFill="1" applyBorder="1" applyAlignment="1" applyProtection="1">
      <alignment horizontal="center" vertical="center" textRotation="90" wrapText="1"/>
      <protection hidden="1"/>
    </xf>
    <xf numFmtId="0" fontId="18" fillId="14" borderId="34" xfId="0" applyFont="1" applyFill="1" applyBorder="1" applyAlignment="1" applyProtection="1">
      <alignment horizontal="center" vertical="center" textRotation="90" wrapText="1"/>
      <protection hidden="1"/>
    </xf>
    <xf numFmtId="0" fontId="19" fillId="14" borderId="33" xfId="0" applyFont="1" applyFill="1" applyBorder="1" applyAlignment="1" applyProtection="1">
      <alignment horizontal="center" vertical="center" textRotation="90" wrapText="1"/>
      <protection hidden="1"/>
    </xf>
    <xf numFmtId="0" fontId="19" fillId="14" borderId="34" xfId="0" applyFont="1" applyFill="1" applyBorder="1" applyAlignment="1" applyProtection="1">
      <alignment horizontal="center" vertical="center" textRotation="90" wrapText="1"/>
      <protection hidden="1"/>
    </xf>
    <xf numFmtId="0" fontId="0" fillId="13" borderId="0" xfId="0" applyFill="1" applyAlignment="1" applyProtection="1">
      <alignment horizontal="center" vertical="center" wrapText="1"/>
      <protection hidden="1"/>
    </xf>
    <xf numFmtId="1" fontId="0" fillId="13" borderId="30" xfId="1" applyNumberFormat="1" applyFont="1" applyFill="1" applyBorder="1" applyAlignment="1" applyProtection="1">
      <alignment horizontal="center"/>
      <protection hidden="1"/>
    </xf>
    <xf numFmtId="1" fontId="0" fillId="13" borderId="30" xfId="0" applyNumberFormat="1" applyFill="1" applyBorder="1" applyAlignment="1" applyProtection="1">
      <alignment horizontal="center" vertical="center"/>
      <protection hidden="1"/>
    </xf>
    <xf numFmtId="164" fontId="0" fillId="13" borderId="30" xfId="0" applyNumberFormat="1" applyFill="1" applyBorder="1" applyAlignment="1" applyProtection="1">
      <alignment horizontal="center" vertical="center"/>
      <protection hidden="1"/>
    </xf>
    <xf numFmtId="164" fontId="0" fillId="13" borderId="31" xfId="0" applyNumberFormat="1" applyFill="1" applyBorder="1" applyAlignment="1" applyProtection="1">
      <alignment horizontal="center" vertical="center"/>
      <protection hidden="1"/>
    </xf>
    <xf numFmtId="164" fontId="14" fillId="13" borderId="0" xfId="0" applyNumberFormat="1" applyFont="1" applyFill="1" applyAlignment="1" applyProtection="1">
      <alignment horizontal="center" vertical="center"/>
      <protection hidden="1"/>
    </xf>
    <xf numFmtId="1" fontId="0" fillId="13" borderId="0" xfId="0" applyNumberFormat="1" applyFill="1" applyAlignment="1" applyProtection="1">
      <alignment horizontal="center" vertical="center"/>
      <protection hidden="1"/>
    </xf>
    <xf numFmtId="1" fontId="0" fillId="13" borderId="39" xfId="1" applyNumberFormat="1" applyFont="1" applyFill="1" applyBorder="1" applyAlignment="1" applyProtection="1">
      <alignment horizontal="center"/>
      <protection hidden="1"/>
    </xf>
    <xf numFmtId="1" fontId="0" fillId="13" borderId="39" xfId="0" applyNumberFormat="1" applyFill="1" applyBorder="1" applyAlignment="1" applyProtection="1">
      <alignment horizontal="center" vertical="center"/>
      <protection hidden="1"/>
    </xf>
    <xf numFmtId="1" fontId="0" fillId="13" borderId="40" xfId="0" applyNumberFormat="1" applyFill="1" applyBorder="1" applyAlignment="1" applyProtection="1">
      <alignment horizontal="center" vertical="center"/>
      <protection hidden="1"/>
    </xf>
    <xf numFmtId="164" fontId="0" fillId="13" borderId="39" xfId="0" applyNumberFormat="1" applyFill="1" applyBorder="1" applyAlignment="1" applyProtection="1">
      <alignment horizontal="center" vertical="center"/>
      <protection hidden="1"/>
    </xf>
    <xf numFmtId="164" fontId="0" fillId="13" borderId="41" xfId="0" applyNumberFormat="1" applyFill="1" applyBorder="1" applyAlignment="1" applyProtection="1">
      <alignment horizontal="center" vertical="center"/>
      <protection hidden="1"/>
    </xf>
    <xf numFmtId="0" fontId="5" fillId="13" borderId="0" xfId="0" applyFont="1" applyFill="1" applyAlignment="1" applyProtection="1">
      <alignment horizontal="right"/>
      <protection hidden="1"/>
    </xf>
    <xf numFmtId="0" fontId="5" fillId="13" borderId="0" xfId="0" applyFont="1" applyFill="1" applyProtection="1">
      <protection hidden="1"/>
    </xf>
    <xf numFmtId="0" fontId="0" fillId="13" borderId="42" xfId="0" applyFill="1" applyBorder="1" applyProtection="1">
      <protection hidden="1"/>
    </xf>
    <xf numFmtId="164" fontId="14" fillId="13" borderId="31" xfId="0" applyNumberFormat="1" applyFont="1" applyFill="1" applyBorder="1" applyAlignment="1" applyProtection="1">
      <alignment horizontal="center" vertical="center"/>
      <protection hidden="1"/>
    </xf>
    <xf numFmtId="164" fontId="0" fillId="13" borderId="0" xfId="0" applyNumberFormat="1" applyFill="1" applyAlignment="1" applyProtection="1">
      <alignment horizontal="center" vertical="center"/>
      <protection hidden="1"/>
    </xf>
    <xf numFmtId="164" fontId="0" fillId="13" borderId="40" xfId="0" applyNumberFormat="1" applyFill="1" applyBorder="1" applyAlignment="1" applyProtection="1">
      <alignment horizontal="center" vertical="center"/>
      <protection hidden="1"/>
    </xf>
    <xf numFmtId="0" fontId="9" fillId="8" borderId="23" xfId="0" applyFont="1" applyFill="1" applyBorder="1" applyAlignment="1">
      <alignment horizontal="left"/>
    </xf>
    <xf numFmtId="0" fontId="21" fillId="13" borderId="27" xfId="0" applyFont="1" applyFill="1" applyBorder="1" applyProtection="1">
      <protection hidden="1"/>
    </xf>
    <xf numFmtId="0" fontId="21" fillId="13" borderId="0" xfId="0" applyFont="1" applyFill="1" applyProtection="1">
      <protection hidden="1"/>
    </xf>
    <xf numFmtId="0" fontId="23" fillId="0" borderId="0" xfId="0" applyFont="1"/>
    <xf numFmtId="9" fontId="0" fillId="0" borderId="0" xfId="0" applyNumberFormat="1"/>
    <xf numFmtId="2" fontId="0" fillId="0" borderId="2" xfId="0" applyNumberFormat="1" applyBorder="1"/>
    <xf numFmtId="2" fontId="0" fillId="15" borderId="41" xfId="0" applyNumberFormat="1" applyFill="1" applyBorder="1" applyAlignment="1" applyProtection="1">
      <alignment horizontal="center" vertical="center"/>
      <protection hidden="1"/>
    </xf>
    <xf numFmtId="0" fontId="20" fillId="16" borderId="34" xfId="0" applyFont="1" applyFill="1" applyBorder="1" applyAlignment="1" applyProtection="1">
      <alignment horizontal="center" vertical="center" textRotation="90" wrapText="1"/>
      <protection hidden="1"/>
    </xf>
    <xf numFmtId="0" fontId="0" fillId="14" borderId="0" xfId="0" applyFill="1" applyAlignment="1" applyProtection="1">
      <alignment horizontal="left"/>
      <protection hidden="1"/>
    </xf>
    <xf numFmtId="0" fontId="0" fillId="13" borderId="40" xfId="0" applyFill="1" applyBorder="1" applyAlignment="1" applyProtection="1">
      <alignment horizontal="center" vertical="center"/>
      <protection hidden="1"/>
    </xf>
    <xf numFmtId="0" fontId="0" fillId="13" borderId="0" xfId="0" applyFill="1" applyAlignment="1" applyProtection="1">
      <alignment horizontal="center" vertical="center"/>
      <protection hidden="1"/>
    </xf>
    <xf numFmtId="0" fontId="9" fillId="13" borderId="0" xfId="0" applyFont="1" applyFill="1" applyAlignment="1" applyProtection="1">
      <alignment horizontal="left"/>
      <protection hidden="1"/>
    </xf>
    <xf numFmtId="49" fontId="10" fillId="13" borderId="0" xfId="0" applyNumberFormat="1" applyFont="1" applyFill="1" applyProtection="1">
      <protection hidden="1"/>
    </xf>
    <xf numFmtId="0" fontId="7" fillId="8" borderId="23" xfId="0" applyFont="1" applyFill="1" applyBorder="1" applyAlignment="1" applyProtection="1">
      <alignment horizontal="center"/>
      <protection locked="0"/>
    </xf>
    <xf numFmtId="0" fontId="7" fillId="18" borderId="23" xfId="0" applyFont="1" applyFill="1" applyBorder="1" applyAlignment="1" applyProtection="1">
      <alignment horizontal="center"/>
      <protection hidden="1"/>
    </xf>
    <xf numFmtId="9" fontId="0" fillId="8" borderId="23" xfId="1" applyFont="1" applyFill="1" applyBorder="1" applyAlignment="1" applyProtection="1">
      <alignment horizontal="center"/>
      <protection locked="0"/>
    </xf>
    <xf numFmtId="0" fontId="7" fillId="17" borderId="23" xfId="0" applyFont="1" applyFill="1" applyBorder="1" applyAlignment="1" applyProtection="1">
      <alignment horizontal="center"/>
      <protection hidden="1"/>
    </xf>
    <xf numFmtId="0" fontId="0" fillId="8" borderId="6" xfId="0" applyFill="1" applyBorder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9" borderId="6" xfId="0" applyFill="1" applyBorder="1" applyAlignment="1" applyProtection="1">
      <alignment horizontal="center"/>
      <protection hidden="1"/>
    </xf>
    <xf numFmtId="0" fontId="0" fillId="9" borderId="7" xfId="0" applyFill="1" applyBorder="1" applyAlignment="1" applyProtection="1">
      <alignment horizontal="center"/>
      <protection hidden="1"/>
    </xf>
    <xf numFmtId="0" fontId="0" fillId="0" borderId="10" xfId="0" applyBorder="1" applyProtection="1">
      <protection locked="0"/>
    </xf>
    <xf numFmtId="0" fontId="5" fillId="13" borderId="0" xfId="0" applyFont="1" applyFill="1" applyAlignment="1" applyProtection="1">
      <alignment horizontal="left" vertical="top" wrapText="1"/>
      <protection hidden="1"/>
    </xf>
    <xf numFmtId="0" fontId="8" fillId="14" borderId="36" xfId="0" applyFont="1" applyFill="1" applyBorder="1" applyAlignment="1" applyProtection="1">
      <alignment horizontal="left" vertical="center"/>
      <protection hidden="1"/>
    </xf>
    <xf numFmtId="0" fontId="8" fillId="14" borderId="37" xfId="0" applyFont="1" applyFill="1" applyBorder="1" applyAlignment="1" applyProtection="1">
      <alignment horizontal="left" vertical="center"/>
      <protection hidden="1"/>
    </xf>
    <xf numFmtId="0" fontId="8" fillId="14" borderId="38" xfId="0" applyFont="1" applyFill="1" applyBorder="1" applyAlignment="1" applyProtection="1">
      <alignment horizontal="left" vertical="center"/>
      <protection hidden="1"/>
    </xf>
    <xf numFmtId="2" fontId="22" fillId="15" borderId="31" xfId="0" applyNumberFormat="1" applyFont="1" applyFill="1" applyBorder="1" applyAlignment="1" applyProtection="1">
      <alignment horizontal="center" vertical="top" wrapText="1"/>
      <protection hidden="1"/>
    </xf>
    <xf numFmtId="0" fontId="7" fillId="14" borderId="0" xfId="0" applyFont="1" applyFill="1" applyAlignment="1" applyProtection="1">
      <alignment horizontal="center" vertical="top"/>
      <protection hidden="1"/>
    </xf>
    <xf numFmtId="0" fontId="0" fillId="8" borderId="24" xfId="0" applyFill="1" applyBorder="1" applyAlignment="1" applyProtection="1">
      <alignment horizontal="center"/>
      <protection locked="0"/>
    </xf>
    <xf numFmtId="0" fontId="0" fillId="8" borderId="26" xfId="0" applyFill="1" applyBorder="1" applyAlignment="1" applyProtection="1">
      <alignment horizontal="center"/>
      <protection locked="0"/>
    </xf>
    <xf numFmtId="0" fontId="11" fillId="17" borderId="24" xfId="0" applyFont="1" applyFill="1" applyBorder="1" applyAlignment="1" applyProtection="1">
      <alignment horizontal="center"/>
      <protection hidden="1"/>
    </xf>
    <xf numFmtId="0" fontId="11" fillId="17" borderId="25" xfId="0" applyFont="1" applyFill="1" applyBorder="1" applyAlignment="1" applyProtection="1">
      <alignment horizontal="center"/>
      <protection hidden="1"/>
    </xf>
    <xf numFmtId="0" fontId="11" fillId="17" borderId="44" xfId="0" applyFont="1" applyFill="1" applyBorder="1" applyAlignment="1" applyProtection="1">
      <alignment horizontal="center"/>
      <protection hidden="1"/>
    </xf>
    <xf numFmtId="0" fontId="0" fillId="13" borderId="40" xfId="0" applyFill="1" applyBorder="1" applyAlignment="1" applyProtection="1">
      <alignment horizontal="center" vertical="center"/>
      <protection hidden="1"/>
    </xf>
    <xf numFmtId="0" fontId="0" fillId="13" borderId="41" xfId="0" applyFill="1" applyBorder="1" applyAlignment="1" applyProtection="1">
      <alignment horizontal="center" vertical="center"/>
      <protection hidden="1"/>
    </xf>
    <xf numFmtId="0" fontId="0" fillId="13" borderId="0" xfId="0" applyFill="1" applyAlignment="1" applyProtection="1">
      <alignment horizontal="center" vertical="center"/>
      <protection hidden="1"/>
    </xf>
    <xf numFmtId="0" fontId="0" fillId="13" borderId="31" xfId="0" applyFill="1" applyBorder="1" applyAlignment="1" applyProtection="1">
      <alignment horizontal="center" vertical="center"/>
      <protection hidden="1"/>
    </xf>
    <xf numFmtId="0" fontId="24" fillId="14" borderId="47" xfId="0" applyFont="1" applyFill="1" applyBorder="1" applyAlignment="1" applyProtection="1">
      <alignment horizontal="center"/>
      <protection hidden="1"/>
    </xf>
    <xf numFmtId="0" fontId="24" fillId="14" borderId="48" xfId="0" applyFont="1" applyFill="1" applyBorder="1" applyAlignment="1" applyProtection="1">
      <alignment horizontal="center"/>
      <protection hidden="1"/>
    </xf>
    <xf numFmtId="0" fontId="24" fillId="14" borderId="49" xfId="0" applyFont="1" applyFill="1" applyBorder="1" applyAlignment="1" applyProtection="1">
      <alignment horizontal="center"/>
      <protection hidden="1"/>
    </xf>
    <xf numFmtId="0" fontId="8" fillId="14" borderId="43" xfId="0" applyFont="1" applyFill="1" applyBorder="1" applyAlignment="1" applyProtection="1">
      <alignment horizontal="center" vertical="center" textRotation="90" wrapText="1"/>
      <protection hidden="1"/>
    </xf>
    <xf numFmtId="0" fontId="8" fillId="14" borderId="38" xfId="0" applyFont="1" applyFill="1" applyBorder="1" applyAlignment="1" applyProtection="1">
      <alignment horizontal="center" vertical="center" textRotation="90" wrapText="1"/>
      <protection hidden="1"/>
    </xf>
    <xf numFmtId="0" fontId="13" fillId="8" borderId="19" xfId="0" applyFont="1" applyFill="1" applyBorder="1" applyAlignment="1" applyProtection="1">
      <alignment horizontal="center" vertical="center" wrapText="1"/>
      <protection hidden="1"/>
    </xf>
    <xf numFmtId="0" fontId="13" fillId="8" borderId="20" xfId="0" applyFont="1" applyFill="1" applyBorder="1" applyAlignment="1" applyProtection="1">
      <alignment horizontal="center" vertical="center" wrapText="1"/>
      <protection hidden="1"/>
    </xf>
    <xf numFmtId="0" fontId="13" fillId="8" borderId="1" xfId="0" applyFont="1" applyFill="1" applyBorder="1" applyAlignment="1" applyProtection="1">
      <alignment horizontal="center" vertical="center" wrapText="1"/>
      <protection hidden="1"/>
    </xf>
    <xf numFmtId="0" fontId="13" fillId="8" borderId="18" xfId="0" applyFont="1" applyFill="1" applyBorder="1" applyAlignment="1" applyProtection="1">
      <alignment horizontal="center" vertical="center" wrapText="1"/>
      <protection hidden="1"/>
    </xf>
    <xf numFmtId="0" fontId="13" fillId="8" borderId="21" xfId="0" applyFont="1" applyFill="1" applyBorder="1" applyAlignment="1" applyProtection="1">
      <alignment horizontal="center" vertical="center" wrapText="1"/>
      <protection hidden="1"/>
    </xf>
    <xf numFmtId="0" fontId="13" fillId="8" borderId="22" xfId="0" applyFont="1" applyFill="1" applyBorder="1" applyAlignment="1" applyProtection="1">
      <alignment horizontal="center" vertical="center" wrapText="1"/>
      <protection hidden="1"/>
    </xf>
    <xf numFmtId="0" fontId="0" fillId="18" borderId="24" xfId="0" applyFill="1" applyBorder="1" applyAlignment="1" applyProtection="1">
      <alignment horizontal="left"/>
      <protection hidden="1"/>
    </xf>
    <xf numFmtId="0" fontId="0" fillId="18" borderId="25" xfId="0" applyFill="1" applyBorder="1" applyAlignment="1" applyProtection="1">
      <alignment horizontal="left"/>
      <protection hidden="1"/>
    </xf>
    <xf numFmtId="0" fontId="0" fillId="18" borderId="44" xfId="0" applyFill="1" applyBorder="1" applyAlignment="1" applyProtection="1">
      <alignment horizontal="left"/>
      <protection hidden="1"/>
    </xf>
    <xf numFmtId="0" fontId="11" fillId="17" borderId="45" xfId="0" applyFont="1" applyFill="1" applyBorder="1" applyAlignment="1" applyProtection="1">
      <alignment horizontal="center"/>
      <protection hidden="1"/>
    </xf>
    <xf numFmtId="0" fontId="11" fillId="17" borderId="46" xfId="0" applyFont="1" applyFill="1" applyBorder="1" applyAlignment="1" applyProtection="1">
      <alignment horizontal="center"/>
      <protection hidden="1"/>
    </xf>
    <xf numFmtId="0" fontId="0" fillId="8" borderId="25" xfId="0" applyFill="1" applyBorder="1" applyAlignment="1" applyProtection="1">
      <alignment horizontal="center"/>
      <protection locked="0"/>
    </xf>
    <xf numFmtId="0" fontId="7" fillId="14" borderId="31" xfId="0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horizontal="center"/>
    </xf>
    <xf numFmtId="0" fontId="0" fillId="7" borderId="12" xfId="0" applyFill="1" applyBorder="1" applyAlignment="1" applyProtection="1">
      <alignment horizontal="center" textRotation="90"/>
      <protection hidden="1"/>
    </xf>
    <xf numFmtId="0" fontId="0" fillId="7" borderId="14" xfId="0" applyFill="1" applyBorder="1" applyAlignment="1" applyProtection="1">
      <alignment horizontal="center" textRotation="90"/>
      <protection hidden="1"/>
    </xf>
    <xf numFmtId="0" fontId="0" fillId="7" borderId="15" xfId="0" applyFill="1" applyBorder="1" applyAlignment="1" applyProtection="1">
      <alignment horizontal="right"/>
      <protection hidden="1"/>
    </xf>
    <xf numFmtId="0" fontId="0" fillId="7" borderId="16" xfId="0" applyFill="1" applyBorder="1" applyAlignment="1" applyProtection="1">
      <alignment horizontal="right"/>
      <protection hidden="1"/>
    </xf>
    <xf numFmtId="0" fontId="0" fillId="7" borderId="4" xfId="0" applyFill="1" applyBorder="1" applyAlignment="1" applyProtection="1">
      <alignment textRotation="90"/>
      <protection hidden="1"/>
    </xf>
    <xf numFmtId="0" fontId="0" fillId="7" borderId="6" xfId="0" applyFill="1" applyBorder="1" applyAlignment="1" applyProtection="1">
      <alignment textRotation="90"/>
      <protection hidden="1"/>
    </xf>
    <xf numFmtId="0" fontId="0" fillId="7" borderId="8" xfId="0" applyFill="1" applyBorder="1" applyAlignment="1" applyProtection="1">
      <alignment textRotation="90"/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9" borderId="6" xfId="0" applyFill="1" applyBorder="1" applyAlignment="1" applyProtection="1">
      <alignment horizontal="right"/>
      <protection hidden="1"/>
    </xf>
    <xf numFmtId="0" fontId="0" fillId="9" borderId="0" xfId="0" applyFill="1" applyAlignment="1" applyProtection="1">
      <alignment horizontal="right"/>
      <protection hidden="1"/>
    </xf>
    <xf numFmtId="0" fontId="0" fillId="8" borderId="6" xfId="0" applyFill="1" applyBorder="1" applyAlignment="1" applyProtection="1">
      <alignment horizontal="center"/>
      <protection hidden="1"/>
    </xf>
    <xf numFmtId="0" fontId="0" fillId="8" borderId="7" xfId="0" applyFill="1" applyBorder="1" applyAlignment="1" applyProtection="1">
      <alignment horizontal="center"/>
      <protection hidden="1"/>
    </xf>
    <xf numFmtId="0" fontId="0" fillId="9" borderId="6" xfId="0" applyFill="1" applyBorder="1" applyAlignment="1" applyProtection="1">
      <alignment horizontal="center"/>
      <protection hidden="1"/>
    </xf>
    <xf numFmtId="0" fontId="0" fillId="9" borderId="7" xfId="0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9" borderId="10" xfId="0" applyFill="1" applyBorder="1" applyAlignment="1" applyProtection="1">
      <alignment horizontal="right"/>
      <protection hidden="1"/>
    </xf>
    <xf numFmtId="0" fontId="0" fillId="8" borderId="0" xfId="0" applyFill="1" applyAlignment="1" applyProtection="1">
      <alignment horizontal="center"/>
      <protection hidden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65943</xdr:colOff>
      <xdr:row>1</xdr:row>
      <xdr:rowOff>0</xdr:rowOff>
    </xdr:from>
    <xdr:to>
      <xdr:col>12</xdr:col>
      <xdr:colOff>447577</xdr:colOff>
      <xdr:row>3</xdr:row>
      <xdr:rowOff>49379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38347" y="190500"/>
          <a:ext cx="894518" cy="5622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51289</xdr:colOff>
          <xdr:row>10</xdr:row>
          <xdr:rowOff>14654</xdr:rowOff>
        </xdr:from>
        <xdr:to>
          <xdr:col>12</xdr:col>
          <xdr:colOff>457775</xdr:colOff>
          <xdr:row>13</xdr:row>
          <xdr:rowOff>16852</xdr:rowOff>
        </xdr:to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040924" y="1941635"/>
              <a:ext cx="919370" cy="581025"/>
              <a:chOff x="9363009" y="609635"/>
              <a:chExt cx="1033792" cy="476247"/>
            </a:xfrm>
          </xdr:grpSpPr>
          <xdr:sp macro="" textlink="">
            <xdr:nvSpPr>
              <xdr:cNvPr id="8198" name="rbtnOneSI" hidden="1">
                <a:extLst>
                  <a:ext uri="{63B3BB69-23CF-44E3-9099-C40C66FF867C}">
                    <a14:compatExt spid="_x0000_s8198"/>
                  </a:ext>
                  <a:ext uri="{FF2B5EF4-FFF2-40B4-BE49-F238E27FC236}">
                    <a16:creationId xmlns:a16="http://schemas.microsoft.com/office/drawing/2014/main" id="{00000000-0008-0000-0000-000006200000}"/>
                  </a:ext>
                </a:extLst>
              </xdr:cNvPr>
              <xdr:cNvSpPr/>
            </xdr:nvSpPr>
            <xdr:spPr bwMode="auto">
              <a:xfrm>
                <a:off x="9363127" y="609635"/>
                <a:ext cx="9071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9" name="rbtnOneImperial" hidden="1">
                <a:extLst>
                  <a:ext uri="{63B3BB69-23CF-44E3-9099-C40C66FF867C}">
                    <a14:compatExt spid="_x0000_s8199"/>
                  </a:ext>
                  <a:ext uri="{FF2B5EF4-FFF2-40B4-BE49-F238E27FC236}">
                    <a16:creationId xmlns:a16="http://schemas.microsoft.com/office/drawing/2014/main" id="{00000000-0008-0000-0000-000007200000}"/>
                  </a:ext>
                </a:extLst>
              </xdr:cNvPr>
              <xdr:cNvSpPr/>
            </xdr:nvSpPr>
            <xdr:spPr bwMode="auto">
              <a:xfrm>
                <a:off x="9363009" y="828707"/>
                <a:ext cx="1033792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</xdr:row>
          <xdr:rowOff>0</xdr:rowOff>
        </xdr:from>
        <xdr:to>
          <xdr:col>4</xdr:col>
          <xdr:colOff>266700</xdr:colOff>
          <xdr:row>5</xdr:row>
          <xdr:rowOff>28575</xdr:rowOff>
        </xdr:to>
        <xdr:sp macro="" textlink="">
          <xdr:nvSpPr>
            <xdr:cNvPr id="8202" name="CommandButton1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17</xdr:row>
      <xdr:rowOff>0</xdr:rowOff>
    </xdr:from>
    <xdr:to>
      <xdr:col>22</xdr:col>
      <xdr:colOff>297180</xdr:colOff>
      <xdr:row>23</xdr:row>
      <xdr:rowOff>91440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63817500"/>
          <a:ext cx="4564380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7"/>
  <dimension ref="A1:N24"/>
  <sheetViews>
    <sheetView tabSelected="1" zoomScale="130" zoomScaleNormal="130" workbookViewId="0">
      <selection activeCell="J6" sqref="J6"/>
    </sheetView>
  </sheetViews>
  <sheetFormatPr defaultColWidth="0" defaultRowHeight="15" customHeight="1" zeroHeight="1" x14ac:dyDescent="0.25"/>
  <cols>
    <col min="1" max="1" width="2" style="79" customWidth="1"/>
    <col min="2" max="2" width="5" style="79" customWidth="1"/>
    <col min="3" max="5" width="8.28515625" style="79" customWidth="1"/>
    <col min="6" max="6" width="7.5703125" style="79" customWidth="1"/>
    <col min="7" max="7" width="8.28515625" style="79" customWidth="1"/>
    <col min="8" max="9" width="5.5703125" style="79" customWidth="1"/>
    <col min="10" max="10" width="7.85546875" style="79" customWidth="1"/>
    <col min="11" max="11" width="8.140625" style="79" customWidth="1"/>
    <col min="12" max="12" width="7.7109375" style="79" customWidth="1"/>
    <col min="13" max="13" width="7" style="79" customWidth="1"/>
    <col min="14" max="14" width="2" style="79" customWidth="1"/>
    <col min="15" max="16384" width="8.85546875" style="79" hidden="1"/>
  </cols>
  <sheetData>
    <row r="1" spans="2:13" ht="15" customHeight="1" x14ac:dyDescent="0.25"/>
    <row r="2" spans="2:13" ht="25.5" customHeight="1" x14ac:dyDescent="0.4">
      <c r="B2" s="157" t="s">
        <v>237</v>
      </c>
      <c r="C2" s="158"/>
      <c r="D2" s="158"/>
      <c r="E2" s="158"/>
      <c r="F2" s="158"/>
      <c r="G2" s="158"/>
      <c r="H2" s="158"/>
      <c r="I2" s="158"/>
      <c r="J2" s="158"/>
      <c r="K2" s="159"/>
    </row>
    <row r="3" spans="2:13" x14ac:dyDescent="0.25">
      <c r="B3" s="78"/>
    </row>
    <row r="4" spans="2:13" x14ac:dyDescent="0.25">
      <c r="B4" s="131"/>
      <c r="C4" s="132"/>
      <c r="F4" s="150" t="s">
        <v>331</v>
      </c>
      <c r="G4" s="151"/>
      <c r="H4" s="151"/>
      <c r="I4" s="152"/>
      <c r="J4" s="173" t="s">
        <v>28</v>
      </c>
      <c r="K4" s="149"/>
    </row>
    <row r="5" spans="2:13" x14ac:dyDescent="0.25">
      <c r="B5" s="78"/>
      <c r="F5" s="150" t="str">
        <f>IF(data!$P$38=1,"Type omkasting",IF(data!$P$38=2,"Case type",IF(data!$P$38=3,"Gehäusetyp",IF(data!$P$38=4,"Type de boîtier",IF(data!$P$38=5,"Foringsrør type",IF(data!$P$38=6,"Tipo de carcasa",IF(data!$P$38=7,"Typ av hölje",IF(data!$P$38=8,"Typ krytu"))))))))</f>
        <v>Case type</v>
      </c>
      <c r="G5" s="151"/>
      <c r="H5" s="151"/>
      <c r="I5" s="152"/>
      <c r="J5" s="148" t="s">
        <v>100</v>
      </c>
      <c r="K5" s="149"/>
    </row>
    <row r="6" spans="2:13" x14ac:dyDescent="0.25">
      <c r="B6" s="80"/>
      <c r="F6" s="150" t="str">
        <f>IF(data!$P$38=1,"Uitvoering",IF(data!$P$38=2,"Version",IF(data!$P$38=3,"Ausfürhung",IF(data!$P$38=4,"Version",IF(data!$P$38=5,"Versjon",IF(data!$P$38=6,"Versión",IF(data!$P$38=7,"Prestanda",IF(data!$P$38=8,"Verze"))))))))</f>
        <v>Version</v>
      </c>
      <c r="G6" s="151"/>
      <c r="H6" s="151"/>
      <c r="I6" s="152"/>
      <c r="J6" s="133">
        <v>53</v>
      </c>
      <c r="K6" s="136">
        <v>200</v>
      </c>
      <c r="L6" s="133">
        <v>12</v>
      </c>
      <c r="M6" s="134">
        <f>data!E5</f>
        <v>13.2</v>
      </c>
    </row>
    <row r="7" spans="2:13" ht="6" customHeight="1" x14ac:dyDescent="0.25">
      <c r="B7" s="81"/>
      <c r="C7" s="82"/>
      <c r="D7" s="82"/>
      <c r="E7" s="82"/>
      <c r="F7" s="83"/>
      <c r="G7" s="83"/>
      <c r="H7" s="83"/>
      <c r="I7" s="83"/>
      <c r="J7" s="147" t="str">
        <f>IF(data!$P$38=1,NL!B3,IF(data!$P$38=2,EN!B3,IF(data!$P$38=4,FR!B3,IF(data!$P$38=3,DE!B3,IF(data!$P$38=5,NR!B3,IF(data!$P$38=6,SP!B3,IF(data!$P$38=7,SW!B3,IF(data!$P$38=8,TS!B3,))))))))</f>
        <v>Length</v>
      </c>
      <c r="K7" s="147" t="str">
        <f>IF(data!$P$38=1,NL!B4,IF(data!$P$38=2,EN!B4,IF(data!$P$38=4,FR!B4,IF(data!$P$38=3,DE!B4,IF(data!$P$38=5,NR!B4,IF(data!$P$38=6,SP!B4,IF(data!$P$38=7,SW!B4,IF(data!$P$38=8,TS!B4,))))))))</f>
        <v>Heigth</v>
      </c>
      <c r="L7" s="147" t="str">
        <f>IF(data!$P$38=1,NL!B5,IF(data!$P$38=2,EN!B5,IF(data!$P$38=4,FR!B5,IF(data!$P$38=3,DE!B5,IF(data!$P$38=5,NR!B5,IF(data!$P$38=6,SP!B5,IF(data!$P$38=7,SW!B5,IF(data!$P$38=8,TS!B5,))))))))</f>
        <v>Type</v>
      </c>
      <c r="M7" s="174" t="str">
        <f>IF(data!$P$38=1,NL!B6,IF(data!$P$38=2,EN!B6,IF(data!$P$38=4,FR!B6,IF(data!$P$38=3,DE!B6,IF(data!$P$38=5,NR!B6,IF(data!$P$38=6,SP!B6,IF(data!$P$38=7,SW!B6,IF(data!$P$38=8,TS!B6,))))))))</f>
        <v>Depth</v>
      </c>
    </row>
    <row r="8" spans="2:13" x14ac:dyDescent="0.25">
      <c r="B8" s="84" t="str">
        <f>IF(data!$P$38=1,NL!E5,IF(data!$P$38=2,EN!E5,IF(data!$P$38=4,FR!E5,IF(data!$P$38=3,DE!E5,IF(data!$P$38=5,NR!E5,IF(data!$P$38=6,SP!E5,IF(data!$P$38=7,SW!E5,IF(data!$P$38=8,TS!E5,))))))))</f>
        <v>Temperatures</v>
      </c>
      <c r="C8" s="83"/>
      <c r="D8" s="83"/>
      <c r="E8" s="83"/>
      <c r="F8" s="83"/>
      <c r="G8" s="83"/>
      <c r="H8" s="83"/>
      <c r="I8" s="83"/>
      <c r="J8" s="147"/>
      <c r="K8" s="147"/>
      <c r="L8" s="147"/>
      <c r="M8" s="174"/>
    </row>
    <row r="9" spans="2:13" x14ac:dyDescent="0.25">
      <c r="B9" s="84" t="str">
        <f>IF(data!$P$38=1,NL!B8,IF(data!$P$38=2,EN!B8,IF(data!$P$38=4,FR!B8,IF(data!$P$38=3,DE!B8,IF(data!$P$38=5,NR!B8,IF(data!$P$38=6,SP!B8,IF(data!$P$38=7,SW!B8,IF(data!$P$38=8,TS!B8,))))))))</f>
        <v>Heating:</v>
      </c>
      <c r="C9" s="83"/>
      <c r="D9" s="83"/>
      <c r="E9" s="83"/>
      <c r="F9" s="83"/>
      <c r="G9" s="85" t="str">
        <f>IF(data!$P$38=1,NL!G8,IF(data!$P$38=2,EN!G8,IF(data!$P$38=4,FR!G8,IF(data!$P$38=3,DE!G8,IF(data!$P$38=5,NR!G8,IF(data!$P$38=6,SP!G8,IF(data!$P$38=7,SW!G8,IF(data!$P$38=8,TS!G8,))))))))</f>
        <v>Cooling:</v>
      </c>
      <c r="H9" s="85"/>
      <c r="I9" s="83"/>
      <c r="J9" s="83"/>
      <c r="K9" s="83"/>
      <c r="L9" s="83"/>
      <c r="M9" s="86"/>
    </row>
    <row r="10" spans="2:13" ht="15.75" thickBot="1" x14ac:dyDescent="0.3">
      <c r="B10" s="168" t="str">
        <f>IF(data!$P$38=1,NL!B9,IF(data!$P$38=2,EN!B9,IF(data!$P$38=4,FR!B9,IF(data!$P$38=3,DE!B9,IF(data!$P$38=5,NR!B9,IF(data!$P$38=6,SP!B9,IF(data!$P$38=7,SW!B9,IF(data!$P$38=8,TS!B9,))))))))</f>
        <v>Supply water</v>
      </c>
      <c r="C10" s="169">
        <v>0</v>
      </c>
      <c r="D10" s="170">
        <v>0</v>
      </c>
      <c r="E10" s="77">
        <v>75</v>
      </c>
      <c r="F10" s="128" t="str">
        <f>IF(data!$R$31=1,"°C",IF(data!$R$31=2,"°F",))</f>
        <v>°C</v>
      </c>
      <c r="G10" s="168" t="str">
        <f>B10</f>
        <v>Supply water</v>
      </c>
      <c r="H10" s="169">
        <v>0</v>
      </c>
      <c r="I10" s="170">
        <v>0</v>
      </c>
      <c r="J10" s="77">
        <v>15.999999999999998</v>
      </c>
      <c r="K10" s="83" t="str">
        <f>F10</f>
        <v>°C</v>
      </c>
      <c r="L10" s="171" t="str">
        <f>IF(data!$P$38=1,NL!G4,IF(data!$P$38=2,EN!G4,IF(data!$P$38=4,FR!G4,IF(data!$P$38=3,DE!G4,IF(data!$P$38=5,NR!G4,IF(data!$P$38=6,SP!G4,IF(data!$P$38=7,SW!G4,IF(data!$P$38=8,TS!G4,))))))))</f>
        <v>Unit conversion</v>
      </c>
      <c r="M10" s="172"/>
    </row>
    <row r="11" spans="2:13" ht="15.75" thickTop="1" x14ac:dyDescent="0.25">
      <c r="B11" s="168" t="str">
        <f>IF(data!$P$38=1,NL!B10,IF(data!$P$38=2,EN!B10,IF(data!$P$38=4,FR!B10,IF(data!$P$38=3,DE!B10,IF(data!$P$38=5,NR!B10,IF(data!$P$38=6,SP!B10,IF(data!$P$38=7,SW!B10,IF(data!$P$38=8,TS!B10,))))))))</f>
        <v>Return water</v>
      </c>
      <c r="C11" s="169">
        <v>0</v>
      </c>
      <c r="D11" s="170">
        <v>0</v>
      </c>
      <c r="E11" s="77">
        <v>65</v>
      </c>
      <c r="F11" s="128" t="str">
        <f>F10</f>
        <v>°C</v>
      </c>
      <c r="G11" s="168" t="str">
        <f>B11</f>
        <v>Return water</v>
      </c>
      <c r="H11" s="169">
        <v>0</v>
      </c>
      <c r="I11" s="170">
        <v>0</v>
      </c>
      <c r="J11" s="77">
        <v>18.000000000000004</v>
      </c>
      <c r="K11" s="83" t="str">
        <f>F10</f>
        <v>°C</v>
      </c>
      <c r="L11" s="162"/>
      <c r="M11" s="163"/>
    </row>
    <row r="12" spans="2:13" x14ac:dyDescent="0.25">
      <c r="B12" s="168" t="str">
        <f>IF(data!$P$38=1,NL!B11,IF(data!$P$38=2,EN!B11,IF(data!$P$38=4,FR!B11,IF(data!$P$38=3,DE!B11,IF(data!$P$38=5,NR!B11,IF(data!$P$38=6,SP!B11,IF(data!$P$38=7,SW!B11,IF(data!$P$38=8,TS!B11,))))))))</f>
        <v>Entering air (dry bulb)</v>
      </c>
      <c r="C12" s="169">
        <v>0</v>
      </c>
      <c r="D12" s="170">
        <v>0</v>
      </c>
      <c r="E12" s="77">
        <v>20</v>
      </c>
      <c r="F12" s="128" t="str">
        <f>F10</f>
        <v>°C</v>
      </c>
      <c r="G12" s="168" t="str">
        <f>B12</f>
        <v>Entering air (dry bulb)</v>
      </c>
      <c r="H12" s="169">
        <v>0</v>
      </c>
      <c r="I12" s="170">
        <v>0</v>
      </c>
      <c r="J12" s="77">
        <v>28.000000000000004</v>
      </c>
      <c r="K12" s="83" t="str">
        <f>F10</f>
        <v>°C</v>
      </c>
      <c r="L12" s="164"/>
      <c r="M12" s="165"/>
    </row>
    <row r="13" spans="2:13" x14ac:dyDescent="0.25">
      <c r="B13" s="87"/>
      <c r="C13" s="83"/>
      <c r="D13" s="83"/>
      <c r="E13" s="83"/>
      <c r="F13" s="83"/>
      <c r="G13" s="168" t="str">
        <f>IF(data!$P$38=1,NL!$G$3,IF(data!$P$38=2,EN!$G$3,IF(data!$P$38=4,FR!$G$3,IF(data!$P$38=3,DE!$G$3,IF(data!$P$38=5,NR!$G$3,IF(data!$P$38=6,SP!$G$3,IF(data!$P$38=7,SW!$G$3,IF(data!$P$38=8,TS!$G$3,))))))))</f>
        <v>rel. humid.</v>
      </c>
      <c r="H13" s="169"/>
      <c r="I13" s="170"/>
      <c r="J13" s="135">
        <v>0.5</v>
      </c>
      <c r="K13" s="83"/>
      <c r="L13" s="164"/>
      <c r="M13" s="165"/>
    </row>
    <row r="14" spans="2:13" ht="6" customHeight="1" x14ac:dyDescent="0.25">
      <c r="B14" s="88"/>
      <c r="C14" s="89"/>
      <c r="D14" s="89"/>
      <c r="E14" s="89"/>
      <c r="F14" s="90"/>
      <c r="G14" s="90"/>
      <c r="H14" s="90"/>
      <c r="I14" s="90"/>
      <c r="J14" s="90"/>
      <c r="K14" s="90"/>
      <c r="L14" s="166"/>
      <c r="M14" s="167"/>
    </row>
    <row r="15" spans="2:13" s="122" customFormat="1" x14ac:dyDescent="0.25">
      <c r="B15" s="121"/>
      <c r="C15" s="121"/>
      <c r="D15" s="91"/>
      <c r="E15" s="91"/>
      <c r="F15" s="91"/>
      <c r="G15" s="91"/>
      <c r="H15" s="91"/>
      <c r="I15" s="91"/>
      <c r="J15" s="92"/>
      <c r="K15" s="92"/>
      <c r="L15" s="92"/>
      <c r="M15" s="91"/>
    </row>
    <row r="16" spans="2:13" s="102" customFormat="1" ht="103.5" customHeight="1" x14ac:dyDescent="0.25">
      <c r="B16" s="93" t="str">
        <f>IF(data!$P$38=1,NL!B16,IF(data!$P$38=2,EN!B16,IF(data!$P$38=4,FR!B16,IF(data!$P$38=3,DE!B16,IF(data!$P$38=5,NR!B16,IF(data!$P$38=6,SP!B16,IF(data!$P$38=7,SW!B16,IF(data!$P$38=8,TS!B16,))))))))</f>
        <v>Fan speed</v>
      </c>
      <c r="C16" s="94" t="str">
        <f>IF(data!$P$38=1,NL!B19,IF(data!$P$38=2,EN!B19,IF(data!$P$38=4,FR!B19,IF(data!$P$38=3,DE!B19,IF(data!$P$38=5,NR!B19,IF(data!$P$38=6,SP!B19,IF(data!$P$38=7,SW!B19,IF(data!$P$38=8,TS!B19,))))))))</f>
        <v>Fan voltage [V]</v>
      </c>
      <c r="D16" s="95" t="str">
        <f>IF(data!$P$38=1,NL!C14,IF(data!$P$38=2,EN!C14,IF(data!$P$38=4,FR!C14,IF(data!$P$38=3,DE!C14,IF(data!$P$38=5,NR!C14,IF(data!$P$38=6,SP!C14,IF(data!$P$38=7,SW!C14,IF(data!$P$38=8,TS!C14,))))))))&amp;IF(data!$R$31=1," [W]",IF(data!$R$31=2," [Btu/h]",))</f>
        <v>Heating capacity [W]</v>
      </c>
      <c r="E16" s="96" t="str">
        <f>IF(data!$P$38=1,NL!D14,IF(data!$P$38=2,EN!D14,IF(data!$P$38=4,FR!D14,IF(data!$P$38=3,DE!D14,IF(data!$P$38=5,NR!D14,IF(data!$P$38=6,SP!D14,IF(data!$P$38=7,SW!D14,IF(data!$P$38=8,TS!D14,))))))))&amp;IF(data!$R$31=1," [kg/u]",IF(data!$R$31=2," [GPM]**",))</f>
        <v>Water flow [kg/u]</v>
      </c>
      <c r="F16" s="127"/>
      <c r="G16" s="97" t="str">
        <f>IF(data!$P$38=1,NL!E14,IF(data!$P$38=2,EN!E14,IF(data!$P$38=4,FR!E14,IF(data!$P$38=3,DE!E14,IF(data!$P$38=5,NR!E14,IF(data!$P$38=6,SP!E14,IF(data!$P$38=7,SW!E14,IF(data!$P$38=8,TS!E14,))))))))&amp;IF(data!$R$31=1," [W]",IF(data!$R$31=2," [Btu/h]",))</f>
        <v>Cooling capacity [W]</v>
      </c>
      <c r="H16" s="160" t="str">
        <f>E16</f>
        <v>Water flow [kg/u]</v>
      </c>
      <c r="I16" s="161"/>
      <c r="J16" s="98" t="str">
        <f>IF(data!$P$38=1,NL!I13,IF(data!$P$38=2,EN!I13,IF(data!$P$38=4,FR!I13,IF(data!$P$38=3,DE!I13,IF(data!$P$38=5,NR!I13,IF(data!$P$38=6,SP!I13,IF(data!$P$38=7,SW!I13,IF(data!$P$38=8,TS!I13,))))))))</f>
        <v>Sound pressure level [dB(A)]****</v>
      </c>
      <c r="K16" s="99" t="str">
        <f>IF(data!$P$38=1,NL!J13,IF(data!$P$38=2,EN!J13,IF(data!$P$38=4,FR!J13,IF(data!$P$38=3,DE!J13,IF(data!$P$38=5,NR!J13,IF(data!$P$38=6,SP!J13,IF(data!$P$38=7,SW!J13,IF(data!$P$38=8,TS!J13,))))))))</f>
        <v>Sound power [dB(A)]****</v>
      </c>
      <c r="L16" s="100" t="str">
        <f>IF(data!$P$38=1,NL!H13,IF(data!$P$38=2,EN!H13,IF(data!$P$38=4,FR!H13,IF(data!$P$38=3,DE!H13,IF(data!$P$38=5,NR!H13,IF(data!$P$38=6,SP!H13,IF(data!$P$38=7,SW!H13,IF(data!$P$38=8,TS!H13,))))))))</f>
        <v>Electrical consumption [W]</v>
      </c>
      <c r="M16" s="101" t="str">
        <f>IF(data!$P$38=1,NL!G13,IF(data!$P$38=2,EN!G13,IF(data!$P$38=4,FR!G13,IF(data!$P$38=3,DE!G13,IF(data!$P$38=5,NR!G13,IF(data!$P$38=6,SP!G13,IF(data!$P$38=7,SW!G13,IF(data!$P$38=8,TS!G13,))))))))&amp;" [l]"</f>
        <v>Water volume [l]</v>
      </c>
    </row>
    <row r="17" spans="2:13" ht="16.899999999999999" customHeight="1" x14ac:dyDescent="0.25">
      <c r="B17" s="143" t="str">
        <f>CONCATENATE("Vertiga Hybrid, ",J7, " ",J6, "cm, ",K7, " ",K6,"cm, ",L7, " ",L6)</f>
        <v>Vertiga Hybrid, Length 53cm, Heigth 200cm, Type 12</v>
      </c>
      <c r="C17" s="144">
        <v>0</v>
      </c>
      <c r="D17" s="143">
        <v>0</v>
      </c>
      <c r="E17" s="145">
        <v>0</v>
      </c>
      <c r="F17" s="144">
        <v>0</v>
      </c>
      <c r="G17" s="144">
        <v>0</v>
      </c>
      <c r="H17" s="144">
        <v>0</v>
      </c>
      <c r="I17" s="144">
        <v>0</v>
      </c>
      <c r="J17" s="143">
        <v>0</v>
      </c>
      <c r="K17" s="144">
        <v>0</v>
      </c>
      <c r="L17" s="144">
        <v>0</v>
      </c>
      <c r="M17" s="145">
        <v>0</v>
      </c>
    </row>
    <row r="18" spans="2:13" x14ac:dyDescent="0.25">
      <c r="B18" s="103">
        <v>1</v>
      </c>
      <c r="C18" s="118" t="str">
        <f>data!AR5</f>
        <v>N/A</v>
      </c>
      <c r="D18" s="104">
        <f>ROUND(IF(data!$R$31=1,data!S5,IF(data!$R$31=2,data!S5*3.412141633,)),0)</f>
        <v>2054</v>
      </c>
      <c r="E18" s="130">
        <f>IF(data!$R$31=1,ROUND(data!W5,0),IF(data!$R$31=2,ROUND(data!W5/272.7654,1),))</f>
        <v>177</v>
      </c>
      <c r="F18" s="146"/>
      <c r="G18" s="108">
        <f>IF(data!BF5=1,ROUND(IF(data!$R$31=1,data!AF5,IF(data!$R$31=2,data!AF5*3.412141633,)),0),"")</f>
        <v>252</v>
      </c>
      <c r="H18" s="155">
        <f>IF(data!BF5=1,IF(data!$R$31=1,ROUND(data!AI5,0),IF(data!$R$31=2,ROUND(data!AI5/272.7654,1),)),"")</f>
        <v>108</v>
      </c>
      <c r="I18" s="156"/>
      <c r="J18" s="105">
        <f>data!G5</f>
        <v>26</v>
      </c>
      <c r="K18" s="106">
        <f>J18+8</f>
        <v>34</v>
      </c>
      <c r="L18" s="107">
        <f>data!AM5</f>
        <v>9.1999999999999993</v>
      </c>
      <c r="M18" s="117">
        <f>IF(data!$R$31=1,data!AL$5,IF(data!$R$31=2,data!AL$5/4.54609,))</f>
        <v>2.4</v>
      </c>
    </row>
    <row r="19" spans="2:13" x14ac:dyDescent="0.25">
      <c r="B19" s="103">
        <v>2</v>
      </c>
      <c r="C19" s="118" t="str">
        <f>data!AS5</f>
        <v>N/A</v>
      </c>
      <c r="D19" s="104">
        <f>ROUND(IF(data!$R$31=1,data!T5,IF(data!$R$31=2,data!T5*3.412141633,)),0)</f>
        <v>2374</v>
      </c>
      <c r="E19" s="130">
        <f>IF(data!$R$31=1,ROUND(data!X5,0),IF(data!$R$31=2,ROUND(data!X5/272.7654,1),))</f>
        <v>204</v>
      </c>
      <c r="F19" s="146"/>
      <c r="G19" s="108">
        <f>IF(data!BF5=1,ROUND(IF(data!$R$31=1,data!AG5,IF(data!$R$31=2,data!AG5*3.412141633,)),0),"")</f>
        <v>308</v>
      </c>
      <c r="H19" s="155">
        <f>IF(data!BF5=1,IF(data!$R$31=1,ROUND(data!AJ5,0),IF(data!$R$31=2,ROUND(data!AJ5/272.7654,1),)),"")</f>
        <v>132</v>
      </c>
      <c r="I19" s="156"/>
      <c r="J19" s="105">
        <f>data!H5</f>
        <v>30</v>
      </c>
      <c r="K19" s="106">
        <f>J19+8</f>
        <v>38</v>
      </c>
      <c r="L19" s="107">
        <f>data!AN5</f>
        <v>9.9</v>
      </c>
      <c r="M19" s="117">
        <f>IF(data!$R$31=1,data!AL$5,IF(data!$R$31=2,data!AL$5/4.54609,))</f>
        <v>2.4</v>
      </c>
    </row>
    <row r="20" spans="2:13" x14ac:dyDescent="0.25">
      <c r="B20" s="109">
        <v>3</v>
      </c>
      <c r="C20" s="119" t="str">
        <f>data!AT5</f>
        <v>N/A</v>
      </c>
      <c r="D20" s="110">
        <f>ROUND(IF(data!$R$31=1,data!U5,IF(data!$R$31=2,data!U5*3.412141633,)),0)</f>
        <v>2925</v>
      </c>
      <c r="E20" s="129">
        <f>IF(data!$R$31=1,ROUND(data!Y5,0),IF(data!$R$31=2,ROUND(data!Y5/272.7654,1),))</f>
        <v>252</v>
      </c>
      <c r="F20" s="126"/>
      <c r="G20" s="111">
        <f>IF(data!BF5=1,ROUND(IF(data!$R$31=1,data!AH5,IF(data!$R$31=2,data!AH5*3.412141633,)),0),"")</f>
        <v>449</v>
      </c>
      <c r="H20" s="153">
        <f>IF(data!BF5=1,IF(data!$R$31=1,ROUND(data!AK5,0),IF(data!$R$31=2,ROUND(data!AK5/272.7654,1),)),"")</f>
        <v>193</v>
      </c>
      <c r="I20" s="154"/>
      <c r="J20" s="112">
        <f>data!I5</f>
        <v>38.700000000000003</v>
      </c>
      <c r="K20" s="113">
        <f>J20+8</f>
        <v>46.7</v>
      </c>
      <c r="L20" s="107">
        <f>data!AO5</f>
        <v>11.7</v>
      </c>
      <c r="M20" s="113">
        <f>IF(data!$R$31=1,data!AL$5,IF(data!$R$31=2,data!AL$5/4.54609,))</f>
        <v>2.4</v>
      </c>
    </row>
    <row r="21" spans="2:13" ht="12" customHeight="1" x14ac:dyDescent="0.25">
      <c r="B21" s="114" t="s">
        <v>24</v>
      </c>
      <c r="C21" s="115" t="str">
        <f>IF(data!$P$38=1,NL!B20,IF(data!$P$38=2,EN!B20,IF(data!$P$38=4,FR!B20,IF(data!$P$38=3,DE!B20,IF(data!$P$38=5,NR!B20,IF(data!$P$38=6,SP!B20,IF(data!$P$38=7,SW!B20,IF(data!$P$38=8,TS!B20,))))))))</f>
        <v>Cooling power is calcullated according EN16430 with fans blowing up for all heights.</v>
      </c>
      <c r="L21" s="116"/>
      <c r="M21" s="114" t="s">
        <v>336</v>
      </c>
    </row>
    <row r="22" spans="2:13" ht="12" customHeight="1" x14ac:dyDescent="0.25">
      <c r="B22" s="114" t="s">
        <v>25</v>
      </c>
      <c r="C22" s="115" t="str">
        <f>IF(data!$P$38=1,NL!B21,IF(data!$P$38=2,EN!B21,IF(data!$P$38=4,FR!B21,IF(data!$P$38=3,DE!B21,IF(data!$P$38=5,NR!B21,IF(data!$P$38=6,SP!B21,IF(data!$P$38=7,SW!B21,IF(data!$P$38=8,TS!B21,))))))))</f>
        <v>When the water volume is given in gallons, the units are specifically imperial gallons.</v>
      </c>
    </row>
    <row r="23" spans="2:13" ht="12" customHeight="1" x14ac:dyDescent="0.25">
      <c r="B23" s="114" t="s">
        <v>59</v>
      </c>
      <c r="C23" s="142" t="str">
        <f>IF(data!$P$38=1,NL!B22,IF(data!$P$38=2,EN!B22,IF(data!$P$38=4,FR!B22,IF(data!$P$38=3,DE!B22,IF(data!$P$38=5,NR!B22,IF(data!$P$38=6,SP!B22,IF(data!$P$38=7,SW!B22,IF(data!$P$38=8,TS!B22,))))))))</f>
        <v>Soundpower according to ISO 3741:2010, sound pressure level with assumed room damping of 8 dB(A).</v>
      </c>
      <c r="D23" s="142">
        <f>IF(data!$P$38=1,NL!C22,IF(data!$P$38=2,EN!C22,IF(data!$P$38=4,FR!C22,IF(data!$P$38=3,DE!C22,IF(data!$P$38=5,NR!C22,IF(data!$P$38=6,SP!C22,))))))</f>
        <v>0</v>
      </c>
      <c r="E23" s="142">
        <f>IF(data!$P$38=1,NL!D22,IF(data!$P$38=2,EN!D22,IF(data!$P$38=4,FR!D22,IF(data!$P$38=3,DE!D22,IF(data!$P$38=5,NR!D22,IF(data!$P$38=6,SP!D22,))))))</f>
        <v>0</v>
      </c>
      <c r="F23" s="142">
        <f>IF(data!$P$38=1,NL!E22,IF(data!$P$38=2,EN!E22,IF(data!$P$38=4,FR!E22,IF(data!$P$38=3,DE!E22,IF(data!$P$38=5,NR!E22,IF(data!$P$38=6,SP!E22,))))))</f>
        <v>0</v>
      </c>
      <c r="G23" s="142">
        <f>IF(data!$P$38=1,NL!F22,IF(data!$P$38=2,EN!F22,IF(data!$P$38=4,FR!F22,IF(data!$P$38=3,DE!F22,IF(data!$P$38=5,NR!F22,IF(data!$P$38=6,SP!F22,))))))</f>
        <v>0</v>
      </c>
      <c r="H23" s="142">
        <f>IF(data!$P$38=1,NL!G22,IF(data!$P$38=2,EN!G22,IF(data!$P$38=4,FR!G22,IF(data!$P$38=3,DE!G22,IF(data!$P$38=5,NR!G22,IF(data!$P$38=6,SP!G22,))))))</f>
        <v>0</v>
      </c>
      <c r="I23" s="142">
        <f>IF(data!$P$38=1,NL!H22,IF(data!$P$38=2,EN!H22,IF(data!$P$38=4,FR!H22,IF(data!$P$38=3,DE!H22,IF(data!$P$38=5,NR!H22,IF(data!$P$38=6,SP!H22,))))))</f>
        <v>0</v>
      </c>
      <c r="J23" s="142">
        <f>IF(data!$P$38=1,NL!I22,IF(data!$P$38=2,EN!I22,IF(data!$P$38=4,FR!I22,IF(data!$P$38=3,DE!I22,IF(data!$P$38=5,NR!I22,IF(data!$P$38=6,SP!I22,))))))</f>
        <v>0</v>
      </c>
      <c r="K23" s="142">
        <f>IF(data!$P$38=1,NL!J22,IF(data!$P$38=2,EN!J22,IF(data!$P$38=4,FR!J22,IF(data!$P$38=3,DE!J22,IF(data!$P$38=5,NR!J22,IF(data!$P$38=6,SP!J22,))))))</f>
        <v>0</v>
      </c>
      <c r="L23" s="142">
        <f>IF(data!$P$38=1,NL!K22,IF(data!$P$38=2,EN!K22,IF(data!$P$38=4,FR!K22,IF(data!$P$38=3,DE!K22,IF(data!$P$38=5,NR!K22,IF(data!$P$38=6,SP!K22,))))))</f>
        <v>0</v>
      </c>
      <c r="M23" s="142">
        <f>IF(data!$P$38=1,NL!L22,IF(data!$P$38=2,EN!L22,IF(data!$P$38=4,FR!L22,IF(data!$P$38=3,DE!L22,IF(data!$P$38=5,NR!L22,IF(data!$P$38=6,SP!L22,))))))</f>
        <v>0</v>
      </c>
    </row>
    <row r="24" spans="2:13" ht="15.75" customHeight="1" x14ac:dyDescent="0.25">
      <c r="C24" s="142">
        <f>IF(data!$P$38=1,NL!B23,IF(data!$P$38=2,EN!B23,IF(data!$P$38=4,FR!B23,IF(data!$P$38=3,DE!B23,IF(data!$P$38=5,NR!B23,IF(data!$P$38=6,SP!B23,))))))</f>
        <v>0</v>
      </c>
      <c r="D24" s="142">
        <f>IF(data!$P$38=1,NL!C23,IF(data!$P$38=2,EN!C23,IF(data!$P$38=4,FR!C23,IF(data!$P$38=3,DE!C23,IF(data!$P$38=5,NR!C23,IF(data!$P$38=6,SP!C23,))))))</f>
        <v>0</v>
      </c>
      <c r="E24" s="142">
        <f>IF(data!$P$38=1,NL!D23,IF(data!$P$38=2,EN!D23,IF(data!$P$38=4,FR!D23,IF(data!$P$38=3,DE!D23,IF(data!$P$38=5,NR!D23,IF(data!$P$38=6,SP!D23,))))))</f>
        <v>0</v>
      </c>
      <c r="F24" s="142">
        <f>IF(data!$P$38=1,NL!E23,IF(data!$P$38=2,EN!E23,IF(data!$P$38=4,FR!E23,IF(data!$P$38=3,DE!E23,IF(data!$P$38=5,NR!E23,IF(data!$P$38=6,SP!E23,))))))</f>
        <v>0</v>
      </c>
      <c r="G24" s="142">
        <f>IF(data!$P$38=1,NL!F23,IF(data!$P$38=2,EN!F23,IF(data!$P$38=4,FR!F23,IF(data!$P$38=3,DE!F23,IF(data!$P$38=5,NR!F23,IF(data!$P$38=6,SP!F23,))))))</f>
        <v>0</v>
      </c>
      <c r="H24" s="142">
        <f>IF(data!$P$38=1,NL!G23,IF(data!$P$38=2,EN!G23,IF(data!$P$38=4,FR!G23,IF(data!$P$38=3,DE!G23,IF(data!$P$38=5,NR!G23,IF(data!$P$38=6,SP!G23,))))))</f>
        <v>0</v>
      </c>
      <c r="I24" s="142">
        <f>IF(data!$P$38=1,NL!H23,IF(data!$P$38=2,EN!H23,IF(data!$P$38=4,FR!H23,IF(data!$P$38=3,DE!H23,IF(data!$P$38=5,NR!H23,IF(data!$P$38=6,SP!H23,))))))</f>
        <v>0</v>
      </c>
      <c r="J24" s="142">
        <f>IF(data!$P$38=1,NL!I23,IF(data!$P$38=2,EN!I23,IF(data!$P$38=4,FR!I23,IF(data!$P$38=3,DE!I23,IF(data!$P$38=5,NR!I23,IF(data!$P$38=6,SP!I23,))))))</f>
        <v>0</v>
      </c>
      <c r="K24" s="142">
        <f>IF(data!$P$38=1,NL!J23,IF(data!$P$38=2,EN!J23,IF(data!$P$38=4,FR!J23,IF(data!$P$38=3,DE!J23,IF(data!$P$38=5,NR!J23,IF(data!$P$38=6,SP!J23,))))))</f>
        <v>0</v>
      </c>
      <c r="L24" s="142">
        <f>IF(data!$P$38=1,NL!K23,IF(data!$P$38=2,EN!K23,IF(data!$P$38=4,FR!K23,IF(data!$P$38=3,DE!K23,IF(data!$P$38=5,NR!K23,IF(data!$P$38=6,SP!K23,))))))</f>
        <v>0</v>
      </c>
      <c r="M24" s="142">
        <f>IF(data!$P$38=1,NL!L23,IF(data!$P$38=2,EN!L23,IF(data!$P$38=4,FR!L23,IF(data!$P$38=3,DE!L23,IF(data!$P$38=5,NR!L23,IF(data!$P$38=6,SP!L23,))))))</f>
        <v>0</v>
      </c>
    </row>
  </sheetData>
  <sheetProtection algorithmName="SHA-512" hashValue="JbOlK5fQTUecq3suNWAE63Em/wEOM72dCRpL8l7u0MHgcgQnCdMO91bPKIyNdl/gOvoxqaA6fegIBib8i1wcaA==" saltValue="1tzEb4zWr2H/yjSzPcKpKQ==" spinCount="100000" sheet="1" selectLockedCells="1"/>
  <mergeCells count="26">
    <mergeCell ref="B2:K2"/>
    <mergeCell ref="H16:I16"/>
    <mergeCell ref="L11:M14"/>
    <mergeCell ref="B12:D12"/>
    <mergeCell ref="G12:I12"/>
    <mergeCell ref="B10:D10"/>
    <mergeCell ref="G10:I10"/>
    <mergeCell ref="B11:D11"/>
    <mergeCell ref="G11:I11"/>
    <mergeCell ref="L10:M10"/>
    <mergeCell ref="G13:I13"/>
    <mergeCell ref="F6:I6"/>
    <mergeCell ref="F4:I4"/>
    <mergeCell ref="J4:K4"/>
    <mergeCell ref="M7:M8"/>
    <mergeCell ref="L7:L8"/>
    <mergeCell ref="J5:K5"/>
    <mergeCell ref="F5:I5"/>
    <mergeCell ref="H20:I20"/>
    <mergeCell ref="H19:I19"/>
    <mergeCell ref="H18:I18"/>
    <mergeCell ref="C23:M24"/>
    <mergeCell ref="B17:M17"/>
    <mergeCell ref="F18:F19"/>
    <mergeCell ref="K7:K8"/>
    <mergeCell ref="J7:J8"/>
  </mergeCells>
  <dataValidations count="4">
    <dataValidation type="whole" errorStyle="information" allowBlank="1" error="Eingabe außerhalb des gültigen Bereichs." prompt="20°C bis 35°C" sqref="J12:J13" xr:uid="{00000000-0002-0000-0000-000000000000}">
      <formula1>20</formula1>
      <formula2>35</formula2>
    </dataValidation>
    <dataValidation type="whole" errorStyle="information" allowBlank="1" error="Eingabe außerhalb des gültigen Bereichs." prompt="Eingabe zwischen Vorlauftemp. und Raumtemp." sqref="J11" xr:uid="{00000000-0002-0000-0000-000001000000}">
      <formula1>J10</formula1>
      <formula2>J12</formula2>
    </dataValidation>
    <dataValidation type="whole" errorStyle="information" allowBlank="1" prompt="Eingabe zwischen 5°C bis 20°C" sqref="J10" xr:uid="{00000000-0002-0000-0000-000002000000}">
      <formula1>5</formula1>
      <formula2>20</formula2>
    </dataValidation>
    <dataValidation allowBlank="1" showInputMessage="1" sqref="E10:E12" xr:uid="{00000000-0002-0000-0000-000003000000}"/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8202" r:id="rId4" name="CommandButton1">
          <controlPr defaultSize="0" autoLine="0" autoPict="0" r:id="rId5">
            <anchor moveWithCells="1">
              <from>
                <xdr:col>1</xdr:col>
                <xdr:colOff>171450</xdr:colOff>
                <xdr:row>3</xdr:row>
                <xdr:rowOff>0</xdr:rowOff>
              </from>
              <to>
                <xdr:col>4</xdr:col>
                <xdr:colOff>266700</xdr:colOff>
                <xdr:row>5</xdr:row>
                <xdr:rowOff>28575</xdr:rowOff>
              </to>
            </anchor>
          </controlPr>
        </control>
      </mc:Choice>
      <mc:Fallback>
        <control shapeId="8202" r:id="rId4" name="CommandButton1"/>
      </mc:Fallback>
    </mc:AlternateContent>
    <mc:AlternateContent xmlns:mc="http://schemas.openxmlformats.org/markup-compatibility/2006">
      <mc:Choice Requires="x14">
        <control shapeId="8199" r:id="rId6" name="rbtnOneImperial">
          <controlPr defaultSize="0" autoFill="0" autoLine="0" r:id="rId7">
            <anchor moveWithCells="1">
              <from>
                <xdr:col>11</xdr:col>
                <xdr:colOff>47625</xdr:colOff>
                <xdr:row>11</xdr:row>
                <xdr:rowOff>85725</xdr:rowOff>
              </from>
              <to>
                <xdr:col>12</xdr:col>
                <xdr:colOff>457200</xdr:colOff>
                <xdr:row>13</xdr:row>
                <xdr:rowOff>19050</xdr:rowOff>
              </to>
            </anchor>
          </controlPr>
        </control>
      </mc:Choice>
      <mc:Fallback>
        <control shapeId="8199" r:id="rId6" name="rbtnOneImperial"/>
      </mc:Fallback>
    </mc:AlternateContent>
    <mc:AlternateContent xmlns:mc="http://schemas.openxmlformats.org/markup-compatibility/2006">
      <mc:Choice Requires="x14">
        <control shapeId="8198" r:id="rId8" name="rbtnOneSI">
          <controlPr defaultSize="0" autoFill="0" autoLine="0" r:id="rId9">
            <anchor moveWithCells="1">
              <from>
                <xdr:col>11</xdr:col>
                <xdr:colOff>47625</xdr:colOff>
                <xdr:row>10</xdr:row>
                <xdr:rowOff>19050</xdr:rowOff>
              </from>
              <to>
                <xdr:col>12</xdr:col>
                <xdr:colOff>342900</xdr:colOff>
                <xdr:row>11</xdr:row>
                <xdr:rowOff>133350</xdr:rowOff>
              </to>
            </anchor>
          </controlPr>
        </control>
      </mc:Choice>
      <mc:Fallback>
        <control shapeId="8198" r:id="rId8" name="rbtnOneSI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4000000}">
          <x14:formula1>
            <xm:f>data!$L$20:$L$22</xm:f>
          </x14:formula1>
          <xm:sqref>J6</xm:sqref>
        </x14:dataValidation>
        <x14:dataValidation type="list" allowBlank="1" showInputMessage="1" showErrorMessage="1" xr:uid="{00000000-0002-0000-0000-000005000000}">
          <x14:formula1>
            <xm:f>data!$N$20:$N$21</xm:f>
          </x14:formula1>
          <xm:sqref>L6</xm:sqref>
        </x14:dataValidation>
        <x14:dataValidation type="list" allowBlank="1" showInputMessage="1" showErrorMessage="1" xr:uid="{00000000-0002-0000-0000-000006000000}">
          <x14:formula1>
            <xm:f>data!$K$20</xm:f>
          </x14:formula1>
          <xm:sqref>J5:K5</xm:sqref>
        </x14:dataValidation>
        <x14:dataValidation type="list" allowBlank="1" showInputMessage="1" showErrorMessage="1" xr:uid="{00000000-0002-0000-0000-000007000000}">
          <x14:formula1>
            <xm:f>data!$P$25:$P$32</xm:f>
          </x14:formula1>
          <xm:sqref>J4:K4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J37"/>
  <sheetViews>
    <sheetView workbookViewId="0">
      <selection activeCell="C3" sqref="C3:C5"/>
    </sheetView>
  </sheetViews>
  <sheetFormatPr defaultColWidth="0" defaultRowHeight="0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ht="15" x14ac:dyDescent="0.25">
      <c r="A3" s="42"/>
      <c r="B3" s="44" t="s">
        <v>298</v>
      </c>
      <c r="C3" s="13"/>
      <c r="D3" s="45" t="s">
        <v>21</v>
      </c>
      <c r="E3" s="120" t="s">
        <v>77</v>
      </c>
      <c r="F3" s="42" t="s">
        <v>332</v>
      </c>
      <c r="G3" s="42" t="s">
        <v>299</v>
      </c>
      <c r="H3" s="42" t="s">
        <v>300</v>
      </c>
      <c r="I3" s="42" t="s">
        <v>301</v>
      </c>
      <c r="J3" s="42"/>
    </row>
    <row r="4" spans="1:10" ht="15" x14ac:dyDescent="0.25">
      <c r="A4" s="42"/>
      <c r="B4" s="46" t="s">
        <v>302</v>
      </c>
      <c r="C4" s="12"/>
      <c r="D4" s="47" t="str">
        <f>D3</f>
        <v>mm</v>
      </c>
      <c r="E4" s="42" t="s">
        <v>303</v>
      </c>
      <c r="F4" s="42" t="s">
        <v>304</v>
      </c>
      <c r="G4" s="42" t="s">
        <v>305</v>
      </c>
      <c r="H4" s="42" t="s">
        <v>306</v>
      </c>
      <c r="I4" s="42" t="s">
        <v>307</v>
      </c>
      <c r="J4" s="42"/>
    </row>
    <row r="5" spans="1:10" ht="15" x14ac:dyDescent="0.25">
      <c r="A5" s="42"/>
      <c r="B5" s="46" t="s">
        <v>33</v>
      </c>
      <c r="C5" s="12"/>
      <c r="D5" s="47"/>
      <c r="E5" s="42" t="s">
        <v>308</v>
      </c>
      <c r="F5" s="42" t="s">
        <v>185</v>
      </c>
      <c r="G5" s="42" t="s">
        <v>204</v>
      </c>
      <c r="H5" s="42"/>
      <c r="I5" s="42" t="s">
        <v>309</v>
      </c>
      <c r="J5" s="42"/>
    </row>
    <row r="6" spans="1:10" ht="15.75" thickBot="1" x14ac:dyDescent="0.3">
      <c r="A6" s="42"/>
      <c r="B6" s="48" t="s">
        <v>310</v>
      </c>
      <c r="C6" s="49"/>
      <c r="D6" s="50" t="str">
        <f>D3</f>
        <v>mm</v>
      </c>
      <c r="E6" s="76" t="s">
        <v>311</v>
      </c>
      <c r="F6" s="42" t="s">
        <v>312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313</v>
      </c>
      <c r="C8" s="52"/>
      <c r="D8" s="53"/>
      <c r="E8" s="54"/>
      <c r="F8" s="55"/>
      <c r="G8" s="56" t="s">
        <v>314</v>
      </c>
      <c r="H8" s="55"/>
      <c r="I8" s="57"/>
      <c r="J8" s="42"/>
    </row>
    <row r="9" spans="1:10" ht="15" x14ac:dyDescent="0.25">
      <c r="A9" s="42"/>
      <c r="B9" s="58" t="s">
        <v>315</v>
      </c>
      <c r="C9" s="12"/>
      <c r="D9" s="59"/>
      <c r="E9" s="184" t="str">
        <f>B9</f>
        <v>Voda na přívodu</v>
      </c>
      <c r="F9" s="185"/>
      <c r="G9" s="185"/>
      <c r="H9" s="12"/>
      <c r="I9" s="60"/>
      <c r="J9" s="42"/>
    </row>
    <row r="10" spans="1:10" ht="15" x14ac:dyDescent="0.25">
      <c r="A10" s="42"/>
      <c r="B10" s="58" t="s">
        <v>316</v>
      </c>
      <c r="C10" s="12"/>
      <c r="D10" s="59"/>
      <c r="E10" s="184" t="str">
        <f>B10</f>
        <v>Voda na zpátečce</v>
      </c>
      <c r="F10" s="185"/>
      <c r="G10" s="185"/>
      <c r="H10" s="12"/>
      <c r="I10" s="60"/>
      <c r="J10" s="42"/>
    </row>
    <row r="11" spans="1:10" ht="15.75" thickBot="1" x14ac:dyDescent="0.3">
      <c r="A11" s="42"/>
      <c r="B11" s="61" t="s">
        <v>334</v>
      </c>
      <c r="C11" s="12"/>
      <c r="D11" s="59"/>
      <c r="E11" s="184" t="str">
        <f>B11</f>
        <v>"Suchá" teplota vzduchu</v>
      </c>
      <c r="F11" s="185"/>
      <c r="G11" s="191"/>
      <c r="H11" s="141"/>
      <c r="I11" s="62"/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ht="15" customHeight="1" x14ac:dyDescent="0.25">
      <c r="A13" s="42"/>
      <c r="B13" s="43"/>
      <c r="C13" s="186" t="str">
        <f>CONCATENATE(B8," ",C9,"/",C10,"/",C11)</f>
        <v>Topení: //</v>
      </c>
      <c r="D13" s="192"/>
      <c r="E13" s="188" t="str">
        <f>CONCATENATE(G8," ",H9,"/",H10,"/",H11)</f>
        <v>Chlazení: //</v>
      </c>
      <c r="F13" s="189"/>
      <c r="G13" s="176" t="s">
        <v>317</v>
      </c>
      <c r="H13" s="176" t="s">
        <v>335</v>
      </c>
      <c r="I13" s="176" t="s">
        <v>318</v>
      </c>
      <c r="J13" s="176" t="s">
        <v>319</v>
      </c>
    </row>
    <row r="14" spans="1:10" s="11" customFormat="1" ht="144.94999999999999" customHeight="1" thickBot="1" x14ac:dyDescent="0.3">
      <c r="A14" s="66"/>
      <c r="B14" s="66"/>
      <c r="C14" s="67" t="s">
        <v>320</v>
      </c>
      <c r="D14" s="68" t="s">
        <v>333</v>
      </c>
      <c r="E14" s="69" t="s">
        <v>321</v>
      </c>
      <c r="F14" s="70" t="s">
        <v>333</v>
      </c>
      <c r="G14" s="177"/>
      <c r="H14" s="177"/>
      <c r="I14" s="177"/>
      <c r="J14" s="177"/>
    </row>
    <row r="15" spans="1:10" ht="15.75" thickBot="1" x14ac:dyDescent="0.3">
      <c r="A15" s="178" t="s">
        <v>42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customHeight="1" x14ac:dyDescent="0.25">
      <c r="A16" s="180" t="s">
        <v>23</v>
      </c>
      <c r="B16" s="71" t="s">
        <v>322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43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44</v>
      </c>
      <c r="C18" s="35"/>
      <c r="D18" s="36"/>
      <c r="E18" s="37"/>
      <c r="F18" s="38"/>
      <c r="G18" s="39"/>
      <c r="H18" s="40"/>
      <c r="I18" s="41"/>
      <c r="J18" s="42"/>
    </row>
    <row r="19" spans="1:10" ht="15" x14ac:dyDescent="0.25">
      <c r="A19" s="42"/>
      <c r="B19" s="43" t="s">
        <v>323</v>
      </c>
      <c r="C19" s="42"/>
      <c r="D19" s="42"/>
      <c r="E19" s="42"/>
      <c r="F19" s="42"/>
      <c r="G19" s="42"/>
      <c r="H19" s="42"/>
      <c r="I19" s="74"/>
      <c r="J19" s="42"/>
    </row>
    <row r="20" spans="1:10" ht="15" x14ac:dyDescent="0.25">
      <c r="A20" s="75" t="s">
        <v>24</v>
      </c>
      <c r="B20" s="76" t="s">
        <v>324</v>
      </c>
      <c r="C20" s="42"/>
      <c r="D20" s="42"/>
      <c r="E20" s="42"/>
      <c r="F20" s="42"/>
      <c r="G20" s="42"/>
      <c r="H20" s="42"/>
      <c r="I20" s="42"/>
      <c r="J20" s="42"/>
    </row>
    <row r="21" spans="1:10" ht="15" x14ac:dyDescent="0.25">
      <c r="A21" s="75" t="s">
        <v>25</v>
      </c>
      <c r="B21" s="76"/>
      <c r="C21" s="42"/>
      <c r="D21" s="42"/>
      <c r="E21" s="42"/>
      <c r="F21" s="42"/>
      <c r="G21" s="42"/>
      <c r="H21" s="42"/>
      <c r="I21" s="42"/>
      <c r="J21" s="42"/>
    </row>
    <row r="22" spans="1:10" ht="15" x14ac:dyDescent="0.25">
      <c r="A22" s="75" t="s">
        <v>59</v>
      </c>
      <c r="B22" s="76" t="s">
        <v>325</v>
      </c>
      <c r="C22" s="42"/>
      <c r="D22" s="42"/>
      <c r="E22" s="42"/>
      <c r="F22" s="42"/>
      <c r="G22" s="42"/>
      <c r="H22" s="42"/>
      <c r="I22" s="42"/>
      <c r="J22" s="42"/>
    </row>
    <row r="23" spans="1:10" ht="15" hidden="1" x14ac:dyDescent="0.25"/>
    <row r="24" spans="1:10" ht="15" hidden="1" x14ac:dyDescent="0.25"/>
    <row r="25" spans="1:10" ht="15" hidden="1" x14ac:dyDescent="0.25"/>
    <row r="26" spans="1:10" ht="15" hidden="1" x14ac:dyDescent="0.25"/>
    <row r="27" spans="1:10" ht="15" hidden="1" x14ac:dyDescent="0.25"/>
    <row r="28" spans="1:10" ht="15" hidden="1" x14ac:dyDescent="0.25"/>
    <row r="29" spans="1:10" ht="15" hidden="1" x14ac:dyDescent="0.25"/>
    <row r="30" spans="1:10" ht="15" hidden="1" x14ac:dyDescent="0.25"/>
    <row r="31" spans="1:10" ht="15" hidden="1" x14ac:dyDescent="0.25"/>
    <row r="32" spans="1:10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</sheetData>
  <mergeCells count="12">
    <mergeCell ref="B1:F1"/>
    <mergeCell ref="E9:G9"/>
    <mergeCell ref="E10:G10"/>
    <mergeCell ref="E11:G11"/>
    <mergeCell ref="C13:D13"/>
    <mergeCell ref="E13:F13"/>
    <mergeCell ref="G13:G14"/>
    <mergeCell ref="H13:H14"/>
    <mergeCell ref="I13:I14"/>
    <mergeCell ref="J13:J14"/>
    <mergeCell ref="A15:B15"/>
    <mergeCell ref="A16:A18"/>
  </mergeCells>
  <dataValidations count="6">
    <dataValidation type="decimal" operator="lessThan" allowBlank="1" showInputMessage="1" showErrorMessage="1" error="room air temperature must be lower than water temperature" sqref="C11" xr:uid="{00000000-0002-0000-0900-000000000000}">
      <formula1>C10</formula1>
    </dataValidation>
    <dataValidation type="decimal" operator="lessThan" allowBlank="1" showInputMessage="1" showErrorMessage="1" error="return must be lower than inlet" sqref="C10" xr:uid="{00000000-0002-0000-0900-000001000000}">
      <formula1>C9</formula1>
    </dataValidation>
    <dataValidation type="decimal" operator="lessThanOrEqual" allowBlank="1" showInputMessage="1" showErrorMessage="1" error="water temperature max 95°C" sqref="C9" xr:uid="{00000000-0002-0000-09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900-000003000000}">
      <formula1>H10</formula1>
    </dataValidation>
    <dataValidation type="decimal" operator="greaterThan" allowBlank="1" showInputMessage="1" showErrorMessage="1" error="return must be higher than inlet" sqref="H10" xr:uid="{00000000-0002-0000-0900-000004000000}">
      <formula1>H9</formula1>
    </dataValidation>
    <dataValidation type="decimal" operator="greaterThan" allowBlank="1" showInputMessage="1" showErrorMessage="1" error="value must be higher than 15" sqref="H9" xr:uid="{00000000-0002-0000-09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38</v>
      </c>
      <c r="C3" s="13"/>
      <c r="D3" s="45" t="s">
        <v>21</v>
      </c>
      <c r="E3" s="120" t="s">
        <v>77</v>
      </c>
      <c r="F3" s="42" t="s">
        <v>201</v>
      </c>
      <c r="G3" s="42" t="s">
        <v>241</v>
      </c>
      <c r="H3" s="42" t="s">
        <v>106</v>
      </c>
      <c r="I3" s="42" t="s">
        <v>251</v>
      </c>
      <c r="J3" s="42"/>
    </row>
    <row r="4" spans="1:10" x14ac:dyDescent="0.25">
      <c r="A4" s="42"/>
      <c r="B4" s="46" t="s">
        <v>39</v>
      </c>
      <c r="C4" s="12"/>
      <c r="D4" s="47" t="str">
        <f>D3</f>
        <v>mm</v>
      </c>
      <c r="E4" s="42" t="s">
        <v>164</v>
      </c>
      <c r="F4" s="42" t="s">
        <v>202</v>
      </c>
      <c r="G4" s="42" t="s">
        <v>203</v>
      </c>
      <c r="H4" s="42" t="s">
        <v>247</v>
      </c>
      <c r="I4" s="42" t="s">
        <v>252</v>
      </c>
      <c r="J4" s="42"/>
    </row>
    <row r="5" spans="1:10" x14ac:dyDescent="0.25">
      <c r="A5" s="42"/>
      <c r="B5" s="46" t="s">
        <v>40</v>
      </c>
      <c r="C5" s="12"/>
      <c r="D5" s="47"/>
      <c r="E5" s="42" t="s">
        <v>81</v>
      </c>
      <c r="F5" s="42" t="s">
        <v>112</v>
      </c>
      <c r="G5" s="42" t="s">
        <v>204</v>
      </c>
      <c r="H5" s="42"/>
      <c r="I5" s="42" t="s">
        <v>253</v>
      </c>
      <c r="J5" s="42"/>
    </row>
    <row r="6" spans="1:10" ht="15.75" thickBot="1" x14ac:dyDescent="0.3">
      <c r="A6" s="42"/>
      <c r="B6" s="48" t="s">
        <v>41</v>
      </c>
      <c r="C6" s="49"/>
      <c r="D6" s="50" t="str">
        <f>D3</f>
        <v>mm</v>
      </c>
      <c r="E6" s="42" t="s">
        <v>254</v>
      </c>
      <c r="F6" s="42" t="s">
        <v>205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206</v>
      </c>
      <c r="C8" s="52"/>
      <c r="D8" s="53"/>
      <c r="E8" s="54"/>
      <c r="F8" s="55"/>
      <c r="G8" s="56" t="s">
        <v>207</v>
      </c>
      <c r="H8" s="55"/>
      <c r="I8" s="57"/>
      <c r="J8" s="42"/>
    </row>
    <row r="9" spans="1:10" x14ac:dyDescent="0.25">
      <c r="A9" s="42"/>
      <c r="B9" s="58" t="s">
        <v>208</v>
      </c>
      <c r="C9" s="12"/>
      <c r="D9" s="59"/>
      <c r="E9" s="184" t="str">
        <f>B9</f>
        <v>Supply water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209</v>
      </c>
      <c r="C10" s="12"/>
      <c r="D10" s="59"/>
      <c r="E10" s="184" t="str">
        <f>B10</f>
        <v>Return water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210</v>
      </c>
      <c r="C11" s="12"/>
      <c r="D11" s="59"/>
      <c r="E11" s="184" t="str">
        <f>B11</f>
        <v>Entering air (dry bulb)</v>
      </c>
      <c r="F11" s="185"/>
      <c r="G11" s="191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x14ac:dyDescent="0.25">
      <c r="A13" s="42"/>
      <c r="B13" s="43"/>
      <c r="C13" s="186" t="str">
        <f>CONCATENATE(B8," ",C9,"/",C10,"/",C11)</f>
        <v>Heating: //</v>
      </c>
      <c r="D13" s="192"/>
      <c r="E13" s="188" t="str">
        <f>CONCATENATE(G8," ",H9,"/",H10,"/",H11)</f>
        <v>Cooling: //</v>
      </c>
      <c r="F13" s="189"/>
      <c r="G13" s="176" t="s">
        <v>211</v>
      </c>
      <c r="H13" s="176" t="s">
        <v>55</v>
      </c>
      <c r="I13" s="176" t="s">
        <v>212</v>
      </c>
      <c r="J13" s="176" t="s">
        <v>213</v>
      </c>
    </row>
    <row r="14" spans="1:10" s="11" customFormat="1" ht="144.94999999999999" customHeight="1" thickBot="1" x14ac:dyDescent="0.3">
      <c r="A14" s="66"/>
      <c r="B14" s="66"/>
      <c r="C14" s="67" t="s">
        <v>214</v>
      </c>
      <c r="D14" s="68" t="s">
        <v>215</v>
      </c>
      <c r="E14" s="69" t="s">
        <v>216</v>
      </c>
      <c r="F14" s="70" t="str">
        <f>D14</f>
        <v>Water flow</v>
      </c>
      <c r="G14" s="177"/>
      <c r="H14" s="177"/>
      <c r="I14" s="177"/>
      <c r="J14" s="177"/>
    </row>
    <row r="15" spans="1:10" ht="15.75" thickBot="1" x14ac:dyDescent="0.3">
      <c r="A15" s="178" t="s">
        <v>42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x14ac:dyDescent="0.25">
      <c r="A16" s="180" t="s">
        <v>23</v>
      </c>
      <c r="B16" s="71" t="s">
        <v>217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43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44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73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218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65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62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12">
    <mergeCell ref="B1:F1"/>
    <mergeCell ref="E9:G9"/>
    <mergeCell ref="E10:G10"/>
    <mergeCell ref="E11:G11"/>
    <mergeCell ref="C13:D13"/>
    <mergeCell ref="E13:F13"/>
    <mergeCell ref="G13:G14"/>
    <mergeCell ref="H13:H14"/>
    <mergeCell ref="I13:I14"/>
    <mergeCell ref="J13:J14"/>
    <mergeCell ref="A15:B15"/>
    <mergeCell ref="A16:A18"/>
  </mergeCells>
  <dataValidations count="6">
    <dataValidation type="decimal" operator="lessThan" allowBlank="1" showInputMessage="1" showErrorMessage="1" error="room air temperature must be lower than water temperature" sqref="C11" xr:uid="{00000000-0002-0000-0A00-000000000000}">
      <formula1>C10</formula1>
    </dataValidation>
    <dataValidation type="decimal" operator="lessThan" allowBlank="1" showInputMessage="1" showErrorMessage="1" error="return must be lower than inlet" sqref="C10" xr:uid="{00000000-0002-0000-0A00-000001000000}">
      <formula1>C9</formula1>
    </dataValidation>
    <dataValidation type="decimal" operator="lessThanOrEqual" allowBlank="1" showInputMessage="1" showErrorMessage="1" error="water temperature max 95°C" sqref="C9" xr:uid="{00000000-0002-0000-0A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A00-000003000000}">
      <formula1>H10</formula1>
    </dataValidation>
    <dataValidation type="decimal" operator="greaterThan" allowBlank="1" showInputMessage="1" showErrorMessage="1" error="return must be higher than inlet" sqref="H10" xr:uid="{00000000-0002-0000-0A00-000004000000}">
      <formula1>H9</formula1>
    </dataValidation>
    <dataValidation type="decimal" operator="greaterThan" allowBlank="1" showInputMessage="1" showErrorMessage="1" error="value must be higher than 15" sqref="H9" xr:uid="{00000000-0002-0000-0A00-000005000000}">
      <formula1>14.9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38</v>
      </c>
      <c r="C3" s="13"/>
      <c r="D3" s="45" t="s">
        <v>21</v>
      </c>
      <c r="E3" s="120" t="s">
        <v>77</v>
      </c>
      <c r="F3" s="42" t="s">
        <v>201</v>
      </c>
      <c r="G3" s="42" t="s">
        <v>241</v>
      </c>
      <c r="H3" s="42" t="s">
        <v>106</v>
      </c>
      <c r="I3" s="42" t="s">
        <v>251</v>
      </c>
      <c r="J3" s="42"/>
    </row>
    <row r="4" spans="1:10" x14ac:dyDescent="0.25">
      <c r="A4" s="42"/>
      <c r="B4" s="46" t="s">
        <v>39</v>
      </c>
      <c r="C4" s="12"/>
      <c r="D4" s="47" t="str">
        <f>D3</f>
        <v>mm</v>
      </c>
      <c r="E4" s="42" t="s">
        <v>164</v>
      </c>
      <c r="F4" s="42" t="s">
        <v>202</v>
      </c>
      <c r="G4" s="42" t="s">
        <v>203</v>
      </c>
      <c r="H4" s="42" t="s">
        <v>247</v>
      </c>
      <c r="I4" s="42" t="s">
        <v>252</v>
      </c>
      <c r="J4" s="42"/>
    </row>
    <row r="5" spans="1:10" x14ac:dyDescent="0.25">
      <c r="A5" s="42"/>
      <c r="B5" s="46" t="s">
        <v>40</v>
      </c>
      <c r="C5" s="12"/>
      <c r="D5" s="47"/>
      <c r="E5" s="42" t="s">
        <v>81</v>
      </c>
      <c r="F5" s="42" t="s">
        <v>112</v>
      </c>
      <c r="G5" s="42" t="s">
        <v>204</v>
      </c>
      <c r="H5" s="42"/>
      <c r="I5" s="42" t="s">
        <v>253</v>
      </c>
      <c r="J5" s="42"/>
    </row>
    <row r="6" spans="1:10" ht="15.75" thickBot="1" x14ac:dyDescent="0.3">
      <c r="A6" s="42"/>
      <c r="B6" s="48" t="s">
        <v>41</v>
      </c>
      <c r="C6" s="49"/>
      <c r="D6" s="50" t="str">
        <f>D3</f>
        <v>mm</v>
      </c>
      <c r="E6" s="42" t="s">
        <v>254</v>
      </c>
      <c r="F6" s="42" t="s">
        <v>205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206</v>
      </c>
      <c r="C8" s="52"/>
      <c r="D8" s="53"/>
      <c r="E8" s="54"/>
      <c r="F8" s="55"/>
      <c r="G8" s="56" t="s">
        <v>207</v>
      </c>
      <c r="H8" s="55"/>
      <c r="I8" s="57"/>
      <c r="J8" s="42"/>
    </row>
    <row r="9" spans="1:10" x14ac:dyDescent="0.25">
      <c r="A9" s="42"/>
      <c r="B9" s="58" t="s">
        <v>208</v>
      </c>
      <c r="C9" s="12"/>
      <c r="D9" s="59"/>
      <c r="E9" s="184" t="str">
        <f>B9</f>
        <v>Supply water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209</v>
      </c>
      <c r="C10" s="12"/>
      <c r="D10" s="59"/>
      <c r="E10" s="184" t="str">
        <f>B10</f>
        <v>Return water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210</v>
      </c>
      <c r="C11" s="12"/>
      <c r="D11" s="59"/>
      <c r="E11" s="184" t="str">
        <f>B11</f>
        <v>Entering air (dry bulb)</v>
      </c>
      <c r="F11" s="185"/>
      <c r="G11" s="191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x14ac:dyDescent="0.25">
      <c r="A13" s="42"/>
      <c r="B13" s="43"/>
      <c r="C13" s="186" t="str">
        <f>CONCATENATE(B8," ",C9,"/",C10,"/",C11)</f>
        <v>Heating: //</v>
      </c>
      <c r="D13" s="192"/>
      <c r="E13" s="188" t="str">
        <f>CONCATENATE(G8," ",H9,"/",H10,"/",H11)</f>
        <v>Cooling: //</v>
      </c>
      <c r="F13" s="189"/>
      <c r="G13" s="176" t="s">
        <v>211</v>
      </c>
      <c r="H13" s="176" t="s">
        <v>55</v>
      </c>
      <c r="I13" s="176" t="s">
        <v>212</v>
      </c>
      <c r="J13" s="176" t="s">
        <v>213</v>
      </c>
    </row>
    <row r="14" spans="1:10" s="11" customFormat="1" ht="144.94999999999999" customHeight="1" thickBot="1" x14ac:dyDescent="0.3">
      <c r="A14" s="66"/>
      <c r="B14" s="66"/>
      <c r="C14" s="67" t="s">
        <v>214</v>
      </c>
      <c r="D14" s="68" t="s">
        <v>215</v>
      </c>
      <c r="E14" s="69" t="s">
        <v>216</v>
      </c>
      <c r="F14" s="70" t="str">
        <f>D14</f>
        <v>Water flow</v>
      </c>
      <c r="G14" s="177"/>
      <c r="H14" s="177"/>
      <c r="I14" s="177"/>
      <c r="J14" s="177"/>
    </row>
    <row r="15" spans="1:10" ht="15.75" thickBot="1" x14ac:dyDescent="0.3">
      <c r="A15" s="178" t="s">
        <v>42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x14ac:dyDescent="0.25">
      <c r="A16" s="180" t="s">
        <v>23</v>
      </c>
      <c r="B16" s="71" t="s">
        <v>217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43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44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73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218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65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62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12">
    <mergeCell ref="B1:F1"/>
    <mergeCell ref="E9:G9"/>
    <mergeCell ref="E10:G10"/>
    <mergeCell ref="E11:G11"/>
    <mergeCell ref="C13:D13"/>
    <mergeCell ref="E13:F13"/>
    <mergeCell ref="G13:G14"/>
    <mergeCell ref="H13:H14"/>
    <mergeCell ref="I13:I14"/>
    <mergeCell ref="J13:J14"/>
    <mergeCell ref="A15:B15"/>
    <mergeCell ref="A16:A18"/>
  </mergeCells>
  <dataValidations count="6">
    <dataValidation type="decimal" operator="lessThan" allowBlank="1" showInputMessage="1" showErrorMessage="1" error="room air temperature must be lower than water temperature" sqref="C11" xr:uid="{00000000-0002-0000-0B00-000000000000}">
      <formula1>C10</formula1>
    </dataValidation>
    <dataValidation type="decimal" operator="lessThan" allowBlank="1" showInputMessage="1" showErrorMessage="1" error="return must be lower than inlet" sqref="C10" xr:uid="{00000000-0002-0000-0B00-000001000000}">
      <formula1>C9</formula1>
    </dataValidation>
    <dataValidation type="decimal" operator="lessThanOrEqual" allowBlank="1" showInputMessage="1" showErrorMessage="1" error="water temperature max 95°C" sqref="C9" xr:uid="{00000000-0002-0000-0B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B00-000003000000}">
      <formula1>H10</formula1>
    </dataValidation>
    <dataValidation type="decimal" operator="greaterThan" allowBlank="1" showInputMessage="1" showErrorMessage="1" error="return must be higher than inlet" sqref="H10" xr:uid="{00000000-0002-0000-0B00-000004000000}">
      <formula1>H9</formula1>
    </dataValidation>
    <dataValidation type="decimal" operator="greaterThan" allowBlank="1" showInputMessage="1" showErrorMessage="1" error="value must be higher than 15" sqref="H9" xr:uid="{00000000-0002-0000-0B00-000005000000}">
      <formula1>14.9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38</v>
      </c>
      <c r="C3" s="13"/>
      <c r="D3" s="45" t="s">
        <v>21</v>
      </c>
      <c r="E3" s="120" t="s">
        <v>77</v>
      </c>
      <c r="F3" s="42" t="s">
        <v>201</v>
      </c>
      <c r="G3" s="42" t="s">
        <v>241</v>
      </c>
      <c r="H3" s="42" t="s">
        <v>106</v>
      </c>
      <c r="I3" s="42" t="s">
        <v>251</v>
      </c>
      <c r="J3" s="42"/>
    </row>
    <row r="4" spans="1:10" x14ac:dyDescent="0.25">
      <c r="A4" s="42"/>
      <c r="B4" s="46" t="s">
        <v>39</v>
      </c>
      <c r="C4" s="12"/>
      <c r="D4" s="47" t="str">
        <f>D3</f>
        <v>mm</v>
      </c>
      <c r="E4" s="42" t="s">
        <v>164</v>
      </c>
      <c r="F4" s="42" t="s">
        <v>202</v>
      </c>
      <c r="G4" s="42" t="s">
        <v>203</v>
      </c>
      <c r="H4" s="42" t="s">
        <v>247</v>
      </c>
      <c r="I4" s="42" t="s">
        <v>252</v>
      </c>
      <c r="J4" s="42"/>
    </row>
    <row r="5" spans="1:10" x14ac:dyDescent="0.25">
      <c r="A5" s="42"/>
      <c r="B5" s="46" t="s">
        <v>40</v>
      </c>
      <c r="C5" s="12"/>
      <c r="D5" s="47"/>
      <c r="E5" s="42" t="s">
        <v>81</v>
      </c>
      <c r="F5" s="42" t="s">
        <v>112</v>
      </c>
      <c r="G5" s="42" t="s">
        <v>204</v>
      </c>
      <c r="H5" s="42"/>
      <c r="I5" s="42" t="s">
        <v>253</v>
      </c>
      <c r="J5" s="42"/>
    </row>
    <row r="6" spans="1:10" ht="15.75" thickBot="1" x14ac:dyDescent="0.3">
      <c r="A6" s="42"/>
      <c r="B6" s="48" t="s">
        <v>41</v>
      </c>
      <c r="C6" s="49"/>
      <c r="D6" s="50" t="str">
        <f>D3</f>
        <v>mm</v>
      </c>
      <c r="E6" s="42" t="s">
        <v>254</v>
      </c>
      <c r="F6" s="42" t="s">
        <v>205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206</v>
      </c>
      <c r="C8" s="52"/>
      <c r="D8" s="53"/>
      <c r="E8" s="54"/>
      <c r="F8" s="55"/>
      <c r="G8" s="56" t="s">
        <v>207</v>
      </c>
      <c r="H8" s="55"/>
      <c r="I8" s="57"/>
      <c r="J8" s="42"/>
    </row>
    <row r="9" spans="1:10" x14ac:dyDescent="0.25">
      <c r="A9" s="42"/>
      <c r="B9" s="58" t="s">
        <v>208</v>
      </c>
      <c r="C9" s="12"/>
      <c r="D9" s="59"/>
      <c r="E9" s="184" t="str">
        <f>B9</f>
        <v>Supply water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209</v>
      </c>
      <c r="C10" s="12"/>
      <c r="D10" s="59"/>
      <c r="E10" s="184" t="str">
        <f>B10</f>
        <v>Return water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210</v>
      </c>
      <c r="C11" s="12"/>
      <c r="D11" s="59"/>
      <c r="E11" s="184" t="str">
        <f>B11</f>
        <v>Entering air (dry bulb)</v>
      </c>
      <c r="F11" s="185"/>
      <c r="G11" s="191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x14ac:dyDescent="0.25">
      <c r="A13" s="42"/>
      <c r="B13" s="43"/>
      <c r="C13" s="186" t="str">
        <f>CONCATENATE(B8," ",C9,"/",C10,"/",C11)</f>
        <v>Heating: //</v>
      </c>
      <c r="D13" s="192"/>
      <c r="E13" s="188" t="str">
        <f>CONCATENATE(G8," ",H9,"/",H10,"/",H11)</f>
        <v>Cooling: //</v>
      </c>
      <c r="F13" s="189"/>
      <c r="G13" s="176" t="s">
        <v>211</v>
      </c>
      <c r="H13" s="176" t="s">
        <v>55</v>
      </c>
      <c r="I13" s="176" t="s">
        <v>212</v>
      </c>
      <c r="J13" s="176" t="s">
        <v>213</v>
      </c>
    </row>
    <row r="14" spans="1:10" s="11" customFormat="1" ht="144.94999999999999" customHeight="1" thickBot="1" x14ac:dyDescent="0.3">
      <c r="A14" s="66"/>
      <c r="B14" s="66"/>
      <c r="C14" s="67" t="s">
        <v>214</v>
      </c>
      <c r="D14" s="68" t="s">
        <v>215</v>
      </c>
      <c r="E14" s="69" t="s">
        <v>216</v>
      </c>
      <c r="F14" s="70" t="str">
        <f>D14</f>
        <v>Water flow</v>
      </c>
      <c r="G14" s="177"/>
      <c r="H14" s="177"/>
      <c r="I14" s="177"/>
      <c r="J14" s="177"/>
    </row>
    <row r="15" spans="1:10" ht="15.75" thickBot="1" x14ac:dyDescent="0.3">
      <c r="A15" s="178" t="s">
        <v>42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x14ac:dyDescent="0.25">
      <c r="A16" s="180" t="s">
        <v>23</v>
      </c>
      <c r="B16" s="71" t="s">
        <v>217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43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44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73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218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65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62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12">
    <mergeCell ref="B1:F1"/>
    <mergeCell ref="E9:G9"/>
    <mergeCell ref="E10:G10"/>
    <mergeCell ref="E11:G11"/>
    <mergeCell ref="C13:D13"/>
    <mergeCell ref="E13:F13"/>
    <mergeCell ref="G13:G14"/>
    <mergeCell ref="H13:H14"/>
    <mergeCell ref="I13:I14"/>
    <mergeCell ref="J13:J14"/>
    <mergeCell ref="A15:B15"/>
    <mergeCell ref="A16:A18"/>
  </mergeCells>
  <dataValidations count="6">
    <dataValidation type="decimal" operator="lessThan" allowBlank="1" showInputMessage="1" showErrorMessage="1" error="room air temperature must be lower than water temperature" sqref="C11" xr:uid="{00000000-0002-0000-0C00-000000000000}">
      <formula1>C10</formula1>
    </dataValidation>
    <dataValidation type="decimal" operator="lessThan" allowBlank="1" showInputMessage="1" showErrorMessage="1" error="return must be lower than inlet" sqref="C10" xr:uid="{00000000-0002-0000-0C00-000001000000}">
      <formula1>C9</formula1>
    </dataValidation>
    <dataValidation type="decimal" operator="lessThanOrEqual" allowBlank="1" showInputMessage="1" showErrorMessage="1" error="water temperature max 95°C" sqref="C9" xr:uid="{00000000-0002-0000-0C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C00-000003000000}">
      <formula1>H10</formula1>
    </dataValidation>
    <dataValidation type="decimal" operator="greaterThan" allowBlank="1" showInputMessage="1" showErrorMessage="1" error="return must be higher than inlet" sqref="H10" xr:uid="{00000000-0002-0000-0C00-000004000000}">
      <formula1>H9</formula1>
    </dataValidation>
    <dataValidation type="decimal" operator="greaterThan" allowBlank="1" showInputMessage="1" showErrorMessage="1" error="value must be higher than 15" sqref="H9" xr:uid="{00000000-0002-0000-0C00-000005000000}">
      <formula1>14.9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G38"/>
  <sheetViews>
    <sheetView workbookViewId="0">
      <pane xSplit="5" ySplit="8" topLeftCell="AA9" activePane="bottomRight" state="frozen"/>
      <selection activeCell="F5" sqref="F5:I5"/>
      <selection pane="topRight" activeCell="F5" sqref="F5:I5"/>
      <selection pane="bottomLeft" activeCell="F5" sqref="F5:I5"/>
      <selection pane="bottomRight" activeCell="AQ10" sqref="AQ10"/>
    </sheetView>
  </sheetViews>
  <sheetFormatPr defaultRowHeight="15" x14ac:dyDescent="0.25"/>
  <cols>
    <col min="1" max="1" width="13.140625" bestFit="1" customWidth="1"/>
    <col min="2" max="3" width="6" bestFit="1" customWidth="1"/>
    <col min="4" max="4" width="4.5703125" bestFit="1" customWidth="1"/>
    <col min="5" max="5" width="9.42578125" bestFit="1" customWidth="1"/>
    <col min="6" max="9" width="6.7109375" customWidth="1"/>
    <col min="10" max="10" width="8.85546875" style="6"/>
    <col min="26" max="26" width="8.85546875" style="6"/>
    <col min="38" max="38" width="11.7109375" style="9" bestFit="1" customWidth="1"/>
    <col min="39" max="39" width="6.7109375" style="6" customWidth="1"/>
    <col min="40" max="46" width="6.7109375" customWidth="1"/>
  </cols>
  <sheetData>
    <row r="1" spans="1:59" x14ac:dyDescent="0.25">
      <c r="J1" t="s">
        <v>13</v>
      </c>
      <c r="K1" t="s">
        <v>10</v>
      </c>
      <c r="L1">
        <f>IF($R$31=1,$M1,IF($R$31=2,(M1-32)/1.8,))</f>
        <v>75</v>
      </c>
      <c r="M1" s="14">
        <f>'Vertiga Hybrid'!E10</f>
        <v>75</v>
      </c>
      <c r="Z1" t="s">
        <v>14</v>
      </c>
      <c r="AA1" t="s">
        <v>10</v>
      </c>
      <c r="AB1">
        <f>IF($R$31=1,$AC1,IF($R$31=2,($AC1-32)/1.8,))</f>
        <v>15.999999999999998</v>
      </c>
      <c r="AC1" s="14">
        <f>'Vertiga Hybrid'!J10</f>
        <v>15.999999999999998</v>
      </c>
      <c r="AE1" t="s">
        <v>95</v>
      </c>
      <c r="AF1" s="124">
        <f>'Vertiga Hybrid'!J13</f>
        <v>0.5</v>
      </c>
    </row>
    <row r="2" spans="1:59" x14ac:dyDescent="0.25">
      <c r="J2"/>
      <c r="K2" t="s">
        <v>11</v>
      </c>
      <c r="L2">
        <f>IF($R$31=1,$M2,IF($R$31=2,(M2-32)/1.8,))</f>
        <v>65</v>
      </c>
      <c r="M2" s="14">
        <f>'Vertiga Hybrid'!E11</f>
        <v>65</v>
      </c>
      <c r="Z2"/>
      <c r="AA2" t="s">
        <v>11</v>
      </c>
      <c r="AB2">
        <f>IF($R$31=1,$AC2,IF($R$31=2,($AC2-32)/1.8,))</f>
        <v>18.000000000000004</v>
      </c>
      <c r="AC2" s="14">
        <f>'Vertiga Hybrid'!J11</f>
        <v>18.000000000000004</v>
      </c>
    </row>
    <row r="3" spans="1:59" x14ac:dyDescent="0.25">
      <c r="J3"/>
      <c r="K3" t="s">
        <v>12</v>
      </c>
      <c r="L3">
        <f>IF($R$31=1,$M3,IF($R$31=2,(M3-32)/1.8,))</f>
        <v>20</v>
      </c>
      <c r="M3" s="14">
        <f>'Vertiga Hybrid'!E12</f>
        <v>20</v>
      </c>
      <c r="Z3"/>
      <c r="AA3" t="s">
        <v>12</v>
      </c>
      <c r="AB3">
        <f>IF($R$31=1,$AC3,IF($R$31=2,($AC3-32)/1.8,))</f>
        <v>28.000000000000004</v>
      </c>
      <c r="AC3" s="14">
        <f>'Vertiga Hybrid'!J12</f>
        <v>28.000000000000004</v>
      </c>
    </row>
    <row r="4" spans="1:59" x14ac:dyDescent="0.25">
      <c r="A4" t="s">
        <v>22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  <c r="AQ4">
        <v>43</v>
      </c>
      <c r="AR4">
        <v>44</v>
      </c>
      <c r="AS4">
        <v>45</v>
      </c>
      <c r="AT4">
        <v>46</v>
      </c>
      <c r="AU4">
        <v>47</v>
      </c>
      <c r="AV4">
        <v>48</v>
      </c>
      <c r="AW4">
        <v>49</v>
      </c>
      <c r="AX4">
        <v>50</v>
      </c>
      <c r="AY4">
        <v>51</v>
      </c>
      <c r="AZ4">
        <v>52</v>
      </c>
      <c r="BA4">
        <v>53</v>
      </c>
      <c r="BB4">
        <v>54</v>
      </c>
      <c r="BC4">
        <v>55</v>
      </c>
      <c r="BD4">
        <v>56</v>
      </c>
      <c r="BE4">
        <v>57</v>
      </c>
      <c r="BF4">
        <v>58</v>
      </c>
    </row>
    <row r="5" spans="1:59" x14ac:dyDescent="0.25">
      <c r="A5" t="str">
        <f>CONCATENATE('Vertiga Hybrid'!K6,'Vertiga Hybrid'!J6,'Vertiga Hybrid'!L6)</f>
        <v>2005312</v>
      </c>
      <c r="B5">
        <f t="shared" ref="B5:AO5" si="0">VLOOKUP($A$5,$A$9:$BF$14,B4,0)</f>
        <v>200</v>
      </c>
      <c r="C5">
        <f t="shared" si="0"/>
        <v>53</v>
      </c>
      <c r="D5">
        <f t="shared" si="0"/>
        <v>12</v>
      </c>
      <c r="E5">
        <f t="shared" si="0"/>
        <v>13.2</v>
      </c>
      <c r="F5">
        <f t="shared" si="0"/>
        <v>0</v>
      </c>
      <c r="G5">
        <f t="shared" si="0"/>
        <v>26</v>
      </c>
      <c r="H5">
        <f t="shared" si="0"/>
        <v>30</v>
      </c>
      <c r="I5">
        <f t="shared" si="0"/>
        <v>38.700000000000003</v>
      </c>
      <c r="J5">
        <f t="shared" si="0"/>
        <v>0</v>
      </c>
      <c r="K5">
        <f t="shared" si="0"/>
        <v>2054</v>
      </c>
      <c r="L5">
        <f t="shared" si="0"/>
        <v>2374</v>
      </c>
      <c r="M5">
        <f t="shared" si="0"/>
        <v>2925</v>
      </c>
      <c r="N5">
        <f t="shared" si="0"/>
        <v>0</v>
      </c>
      <c r="O5">
        <f t="shared" si="0"/>
        <v>1</v>
      </c>
      <c r="P5">
        <f t="shared" si="0"/>
        <v>1</v>
      </c>
      <c r="Q5">
        <f t="shared" si="0"/>
        <v>1</v>
      </c>
      <c r="R5">
        <f t="shared" si="0"/>
        <v>0</v>
      </c>
      <c r="S5">
        <f t="shared" si="0"/>
        <v>2054</v>
      </c>
      <c r="T5">
        <f t="shared" si="0"/>
        <v>2374</v>
      </c>
      <c r="U5">
        <f t="shared" si="0"/>
        <v>2925</v>
      </c>
      <c r="V5">
        <f t="shared" si="0"/>
        <v>0</v>
      </c>
      <c r="W5">
        <f t="shared" si="0"/>
        <v>177</v>
      </c>
      <c r="X5">
        <f t="shared" si="0"/>
        <v>204</v>
      </c>
      <c r="Y5">
        <f t="shared" si="0"/>
        <v>252</v>
      </c>
      <c r="Z5">
        <f t="shared" si="0"/>
        <v>230</v>
      </c>
      <c r="AA5">
        <f t="shared" si="0"/>
        <v>281</v>
      </c>
      <c r="AB5">
        <f t="shared" si="0"/>
        <v>410</v>
      </c>
      <c r="AC5">
        <f t="shared" si="0"/>
        <v>0.95</v>
      </c>
      <c r="AD5">
        <f t="shared" si="0"/>
        <v>0.95</v>
      </c>
      <c r="AE5">
        <f t="shared" si="0"/>
        <v>0.95</v>
      </c>
      <c r="AF5">
        <f t="shared" si="0"/>
        <v>252</v>
      </c>
      <c r="AG5">
        <f t="shared" si="0"/>
        <v>308</v>
      </c>
      <c r="AH5">
        <f t="shared" si="0"/>
        <v>449</v>
      </c>
      <c r="AI5">
        <f t="shared" si="0"/>
        <v>108</v>
      </c>
      <c r="AJ5">
        <f t="shared" si="0"/>
        <v>132</v>
      </c>
      <c r="AK5">
        <f t="shared" si="0"/>
        <v>193</v>
      </c>
      <c r="AL5">
        <f t="shared" si="0"/>
        <v>2.4</v>
      </c>
      <c r="AM5">
        <f t="shared" si="0"/>
        <v>9.1999999999999993</v>
      </c>
      <c r="AN5">
        <f t="shared" si="0"/>
        <v>9.9</v>
      </c>
      <c r="AO5">
        <f t="shared" si="0"/>
        <v>11.7</v>
      </c>
      <c r="AP5">
        <f t="shared" ref="AP5:BE5" si="1">VLOOKUP($A$5,$A$9:$BF$14,AP4,0)</f>
        <v>0</v>
      </c>
      <c r="AQ5">
        <f t="shared" si="1"/>
        <v>0</v>
      </c>
      <c r="AR5" t="str">
        <f>VLOOKUP($A$5,$A$9:$BF$14,AR4,0)</f>
        <v>N/A</v>
      </c>
      <c r="AS5" t="str">
        <f t="shared" si="1"/>
        <v>N/A</v>
      </c>
      <c r="AT5" t="str">
        <f t="shared" si="1"/>
        <v>N/A</v>
      </c>
      <c r="AU5">
        <f t="shared" si="1"/>
        <v>0</v>
      </c>
      <c r="AV5">
        <f t="shared" si="1"/>
        <v>1</v>
      </c>
      <c r="AW5">
        <f t="shared" si="1"/>
        <v>1</v>
      </c>
      <c r="AX5">
        <f t="shared" si="1"/>
        <v>1</v>
      </c>
      <c r="AY5">
        <f t="shared" si="1"/>
        <v>252</v>
      </c>
      <c r="AZ5">
        <f t="shared" si="1"/>
        <v>308</v>
      </c>
      <c r="BA5">
        <f t="shared" si="1"/>
        <v>449</v>
      </c>
      <c r="BB5">
        <f t="shared" si="1"/>
        <v>0</v>
      </c>
      <c r="BC5">
        <f t="shared" si="1"/>
        <v>0</v>
      </c>
      <c r="BD5">
        <f t="shared" si="1"/>
        <v>0</v>
      </c>
      <c r="BE5">
        <f t="shared" si="1"/>
        <v>0</v>
      </c>
      <c r="BF5">
        <f>VLOOKUP($A$5,$A$9:$BF$14,BF4,0)</f>
        <v>1</v>
      </c>
    </row>
    <row r="7" spans="1:59" x14ac:dyDescent="0.25">
      <c r="F7" t="s">
        <v>8</v>
      </c>
      <c r="J7" s="8" t="s">
        <v>4</v>
      </c>
      <c r="K7" s="2" t="s">
        <v>26</v>
      </c>
      <c r="L7" s="2"/>
      <c r="M7" s="2"/>
      <c r="N7" s="3" t="s">
        <v>5</v>
      </c>
      <c r="O7" s="3"/>
      <c r="P7" s="3"/>
      <c r="Q7" s="3"/>
      <c r="R7" s="2" t="s">
        <v>16</v>
      </c>
      <c r="S7" s="2" t="s">
        <v>4</v>
      </c>
      <c r="T7" s="2"/>
      <c r="U7" s="2"/>
      <c r="V7" s="2" t="s">
        <v>16</v>
      </c>
      <c r="W7" s="2" t="s">
        <v>17</v>
      </c>
      <c r="X7" s="2"/>
      <c r="Y7" s="2"/>
      <c r="Z7" s="7" t="s">
        <v>4</v>
      </c>
      <c r="AA7" s="4" t="s">
        <v>15</v>
      </c>
      <c r="AB7" s="4"/>
      <c r="AC7" s="5" t="s">
        <v>5</v>
      </c>
      <c r="AD7" s="5"/>
      <c r="AE7" s="5"/>
      <c r="AF7" s="4" t="s">
        <v>16</v>
      </c>
      <c r="AG7" s="4" t="s">
        <v>4</v>
      </c>
      <c r="AH7" s="4"/>
      <c r="AI7" s="4" t="s">
        <v>16</v>
      </c>
      <c r="AJ7" s="4" t="s">
        <v>17</v>
      </c>
      <c r="AK7" s="4"/>
      <c r="AM7" s="6" t="s">
        <v>7</v>
      </c>
      <c r="AS7" t="s">
        <v>71</v>
      </c>
      <c r="AV7" s="175" t="s">
        <v>96</v>
      </c>
      <c r="AW7" s="175"/>
      <c r="AX7" s="175"/>
      <c r="AY7" s="175" t="s">
        <v>97</v>
      </c>
      <c r="AZ7" s="175"/>
      <c r="BA7" s="175"/>
      <c r="BC7" s="175" t="s">
        <v>98</v>
      </c>
      <c r="BD7" s="175"/>
      <c r="BE7" s="175"/>
      <c r="BF7" s="175" t="s">
        <v>99</v>
      </c>
      <c r="BG7" s="175"/>
    </row>
    <row r="8" spans="1:59" x14ac:dyDescent="0.25">
      <c r="A8" t="s">
        <v>9</v>
      </c>
      <c r="B8" t="s">
        <v>0</v>
      </c>
      <c r="C8" t="s">
        <v>1</v>
      </c>
      <c r="D8" t="s">
        <v>2</v>
      </c>
      <c r="E8" t="s">
        <v>3</v>
      </c>
      <c r="F8">
        <v>0</v>
      </c>
      <c r="G8">
        <v>1</v>
      </c>
      <c r="H8">
        <v>2</v>
      </c>
      <c r="I8">
        <v>3</v>
      </c>
      <c r="J8" s="8">
        <v>0</v>
      </c>
      <c r="K8" s="2">
        <v>1</v>
      </c>
      <c r="L8" s="2">
        <v>2</v>
      </c>
      <c r="M8" s="2">
        <v>3</v>
      </c>
      <c r="N8" s="3">
        <v>0</v>
      </c>
      <c r="O8" s="3">
        <v>1</v>
      </c>
      <c r="P8" s="3">
        <v>2</v>
      </c>
      <c r="Q8" s="3">
        <v>3</v>
      </c>
      <c r="R8" s="2">
        <v>0</v>
      </c>
      <c r="S8" s="2">
        <v>1</v>
      </c>
      <c r="T8" s="2">
        <v>2</v>
      </c>
      <c r="U8" s="2">
        <v>3</v>
      </c>
      <c r="V8" s="2">
        <v>0</v>
      </c>
      <c r="W8" s="2">
        <v>1</v>
      </c>
      <c r="X8" s="2">
        <v>2</v>
      </c>
      <c r="Y8" s="2">
        <v>3</v>
      </c>
      <c r="Z8" s="7">
        <v>1</v>
      </c>
      <c r="AA8" s="4">
        <v>2</v>
      </c>
      <c r="AB8" s="4">
        <v>3</v>
      </c>
      <c r="AC8" s="5">
        <v>1</v>
      </c>
      <c r="AD8" s="5">
        <v>2</v>
      </c>
      <c r="AE8" s="5">
        <v>3</v>
      </c>
      <c r="AF8" s="4">
        <v>1</v>
      </c>
      <c r="AG8" s="4">
        <v>2</v>
      </c>
      <c r="AH8" s="4">
        <v>3</v>
      </c>
      <c r="AI8" s="4">
        <v>1</v>
      </c>
      <c r="AJ8" s="4">
        <v>2</v>
      </c>
      <c r="AK8" s="4">
        <v>3</v>
      </c>
      <c r="AL8" s="9" t="s">
        <v>6</v>
      </c>
      <c r="AM8" s="6">
        <v>1</v>
      </c>
      <c r="AN8">
        <v>2</v>
      </c>
      <c r="AO8">
        <v>3</v>
      </c>
      <c r="AQ8">
        <v>0</v>
      </c>
      <c r="AR8">
        <v>1</v>
      </c>
      <c r="AS8">
        <v>2</v>
      </c>
      <c r="AT8">
        <v>3</v>
      </c>
      <c r="AV8" t="s">
        <v>85</v>
      </c>
      <c r="AW8" t="s">
        <v>86</v>
      </c>
      <c r="AX8" t="s">
        <v>87</v>
      </c>
      <c r="AY8" t="s">
        <v>88</v>
      </c>
      <c r="AZ8" t="s">
        <v>89</v>
      </c>
      <c r="BA8" t="s">
        <v>90</v>
      </c>
      <c r="BC8" s="123" t="s">
        <v>91</v>
      </c>
      <c r="BD8" s="123" t="s">
        <v>92</v>
      </c>
      <c r="BE8" s="123" t="s">
        <v>93</v>
      </c>
      <c r="BF8" s="123" t="s">
        <v>94</v>
      </c>
    </row>
    <row r="9" spans="1:59" x14ac:dyDescent="0.25">
      <c r="A9" t="str">
        <f>CONCATENATE(B9,C9,D9)</f>
        <v>200418</v>
      </c>
      <c r="B9">
        <v>200</v>
      </c>
      <c r="C9">
        <v>41</v>
      </c>
      <c r="D9">
        <v>8</v>
      </c>
      <c r="E9">
        <f>IF('Vertiga Hybrid'!$J$5=data!$K$20,9.2,IF('Vertiga Hybrid'!$J$5=data!$K$21,11.5,""))</f>
        <v>9.1999999999999993</v>
      </c>
      <c r="F9">
        <v>0</v>
      </c>
      <c r="G9">
        <v>26</v>
      </c>
      <c r="H9">
        <v>30</v>
      </c>
      <c r="I9" s="17">
        <v>33.299999999999997</v>
      </c>
      <c r="J9" s="15">
        <v>0</v>
      </c>
      <c r="K9" s="14">
        <v>1315</v>
      </c>
      <c r="L9" s="14">
        <v>1449</v>
      </c>
      <c r="M9" s="14">
        <v>1620</v>
      </c>
      <c r="N9">
        <v>0</v>
      </c>
      <c r="O9" s="14">
        <v>1</v>
      </c>
      <c r="P9" s="14">
        <v>1</v>
      </c>
      <c r="Q9" s="14">
        <v>1</v>
      </c>
      <c r="R9">
        <f t="shared" ref="R9:R14" si="2">ROUND(J9*POWER((($L$1-$L$2)/LN(($L$1-$L$3)/($L$2-$L$3)))/((75-65)/LN((75-20)/(65-20))),N9),0)</f>
        <v>0</v>
      </c>
      <c r="S9">
        <f t="shared" ref="S9:S14" si="3">ROUND(K9*POWER((($L$1-$L$2)/LN(($L$1-$L$3)/($L$2-$L$3)))/((75-65)/LN((75-20)/(65-20))),O9),0)</f>
        <v>1315</v>
      </c>
      <c r="T9">
        <f t="shared" ref="T9:T14" si="4">ROUND(L9*POWER((($L$1-$L$2)/LN(($L$1-$L$3)/($L$2-$L$3)))/((75-65)/LN((75-20)/(65-20))),P9),0)</f>
        <v>1449</v>
      </c>
      <c r="U9">
        <f t="shared" ref="U9:U14" si="5">ROUND(M9*POWER((($L$1-$L$2)/LN(($L$1-$L$3)/($L$2-$L$3)))/((75-65)/LN((75-20)/(65-20))),Q9),0)</f>
        <v>1620</v>
      </c>
      <c r="V9">
        <f t="shared" ref="V9:V14" si="6">ROUND(R9*3600/(4186*ABS($L$1-$L$2)),0)</f>
        <v>0</v>
      </c>
      <c r="W9">
        <f t="shared" ref="W9:W14" si="7">ROUND(S9*3600/(4186*ABS($L$1-$L$2)),0)</f>
        <v>113</v>
      </c>
      <c r="X9">
        <f t="shared" ref="X9:X14" si="8">ROUND(T9*3600/(4186*ABS($L$1-$L$2)),0)</f>
        <v>125</v>
      </c>
      <c r="Y9">
        <f t="shared" ref="Y9:Y14" si="9">ROUND(U9*3600/(4186*ABS($L$1-$L$2)),0)</f>
        <v>139</v>
      </c>
      <c r="Z9" s="15">
        <v>127</v>
      </c>
      <c r="AA9" s="14">
        <v>154</v>
      </c>
      <c r="AB9" s="14">
        <v>178</v>
      </c>
      <c r="AC9">
        <v>0.95</v>
      </c>
      <c r="AD9">
        <v>0.95</v>
      </c>
      <c r="AE9">
        <v>0.95</v>
      </c>
      <c r="AF9">
        <f t="shared" ref="AF9:AG14" si="10">ROUND(Z9*POWER((($AB$1-$AB$2)/LN(($AB$1-$AB$3)/($AB$2-$AB$3)))/((16-18)/LN((16-27)/(18-27))),AC9),0)</f>
        <v>139</v>
      </c>
      <c r="AG9">
        <f t="shared" si="10"/>
        <v>169</v>
      </c>
      <c r="AH9">
        <f>ROUND(AB9*POWER((($AB$1-$AB$2)/LN(($AB$1-$AB$3)/($AB$2-$AB$3)))/((16-18)/LN((16-27)/(18-27))),AE9),0)</f>
        <v>195</v>
      </c>
      <c r="AI9">
        <f t="shared" ref="AI9:AI14" si="11">ROUND(AF9*3600/(4186*ABS($AB$1-$AB$2)),0)</f>
        <v>60</v>
      </c>
      <c r="AJ9">
        <f t="shared" ref="AJ9:AJ14" si="12">ROUND(AG9*3600/(4186*ABS($AB$1-$AB$2)),0)</f>
        <v>73</v>
      </c>
      <c r="AK9">
        <f t="shared" ref="AK9:AK14" si="13">ROUND(AH9*3600/(4186*ABS($AB$1-$AB$2)),0)</f>
        <v>84</v>
      </c>
      <c r="AL9" s="125">
        <v>1.4</v>
      </c>
      <c r="AM9" s="17">
        <v>8.1</v>
      </c>
      <c r="AN9" s="17">
        <v>8.6999999999999993</v>
      </c>
      <c r="AO9" s="17">
        <v>9</v>
      </c>
      <c r="AQ9">
        <v>0</v>
      </c>
      <c r="AR9" t="s">
        <v>102</v>
      </c>
      <c r="AS9" t="s">
        <v>102</v>
      </c>
      <c r="AT9" t="s">
        <v>102</v>
      </c>
      <c r="AV9">
        <f>IF(1/(1+((2258*((0.622/((101325/(1*611*EXP(17.27*((($AB$1+$AB$2)/2)/((($AB$1+$AB$2)/2)+237.3))))))-1)*1000-(0.622/((101325/($AF$1*611*EXP(17.27*($AB$3/($AB$3+237.3))))))-1)*1000))/(1005*((($AB$1+$AB$2)/2)-$AB$3))))&gt;1,1,1/(1+((2258*((0.622/((101325/(1*611*EXP(17.27*((($AB$1+$AB$2)/2)/((($AB$1+$AB$2)/2)+237.3))))))-1)*1000-(0.622/((101325/($AF$1*611*EXP(17.27*($AB$3/($AB$3+237.3))))))-1)*1000))/(1005*((($AB$1+$AB$2)/2)-$AB$3)))))</f>
        <v>1</v>
      </c>
      <c r="AW9">
        <f t="shared" ref="AW9" si="14">IF(1/(1+((2258*((0.622/((101325/(1*611*EXP(17.27*((($AB$1+$AB$2)/2)/((($AB$1+$AB$2)/2)+237.3))))))-1)*1000-(0.622/((101325/($AF$1*611*EXP(17.27*($AB$3/($AB$3+237.3))))))-1)*1000))/(1005*((($AB$1+$AB$2)/2)-$AB$3))))&gt;1,1,1/(1+((2258*((0.622/((101325/(1*611*EXP(17.27*((($AB$1+$AB$2)/2)/((($AB$1+$AB$2)/2)+237.3))))))-1)*1000-(0.622/((101325/($AF$1*611*EXP(17.27*($AB$3/($AB$3+237.3))))))-1)*1000))/(1005*((($AB$1+$AB$2)/2)-$AB$3)))))</f>
        <v>1</v>
      </c>
      <c r="AX9">
        <f>IF(1/(1+((2258*((0.622/((101325/(1*611*EXP(17.27*((($AB$1+$AB$2)/2)/((($AB$1+$AB$2)/2)+237.3))))))-1)*1000-(0.622/((101325/($AF$1*611*EXP(17.27*($AB$3/($AB$3+237.3))))))-1)*1000))/(1005*((($AB$1+$AB$2)/2)-$AB$3))))&gt;1,1,1/(1+((2258*((0.622/((101325/(1*611*EXP(17.27*((($AB$1+$AB$2)/2)/((($AB$1+$AB$2)/2)+237.3))))))-1)*1000-(0.622/((101325/($AF$1*611*EXP(17.27*($AB$3/($AB$3+237.3))))))-1)*1000))/(1005*((($AB$1+$AB$2)/2)-$AB$3)))))</f>
        <v>1</v>
      </c>
      <c r="AY9">
        <f t="shared" ref="AY9:BA14" si="15">AF9/AV9</f>
        <v>139</v>
      </c>
      <c r="AZ9">
        <f t="shared" si="15"/>
        <v>169</v>
      </c>
      <c r="BA9">
        <f t="shared" si="15"/>
        <v>195</v>
      </c>
      <c r="BC9">
        <f t="shared" ref="BC9:BE14" si="16">AY9-AF9</f>
        <v>0</v>
      </c>
      <c r="BD9">
        <f t="shared" si="16"/>
        <v>0</v>
      </c>
      <c r="BE9">
        <f t="shared" si="16"/>
        <v>0</v>
      </c>
      <c r="BF9">
        <f>IF(SUM(BC9:BE9)=0,1,0)</f>
        <v>1</v>
      </c>
    </row>
    <row r="10" spans="1:59" x14ac:dyDescent="0.25">
      <c r="A10" t="str">
        <f>CONCATENATE(B10,C10,D10)</f>
        <v>200528</v>
      </c>
      <c r="B10">
        <v>200</v>
      </c>
      <c r="C10">
        <v>52</v>
      </c>
      <c r="D10">
        <v>8</v>
      </c>
      <c r="E10">
        <f>IF('Vertiga Hybrid'!$J$5=data!$K$20,9.2,IF('Vertiga Hybrid'!$J$5=data!$K$21,11.5,""))</f>
        <v>9.1999999999999993</v>
      </c>
      <c r="F10">
        <v>0</v>
      </c>
      <c r="G10">
        <v>26</v>
      </c>
      <c r="H10">
        <v>30</v>
      </c>
      <c r="I10" s="17">
        <v>36.6</v>
      </c>
      <c r="J10" s="15">
        <v>0</v>
      </c>
      <c r="K10" s="14">
        <v>1428</v>
      </c>
      <c r="L10" s="14">
        <v>1633</v>
      </c>
      <c r="M10" s="14">
        <v>2289</v>
      </c>
      <c r="N10">
        <v>0</v>
      </c>
      <c r="O10" s="14">
        <v>1</v>
      </c>
      <c r="P10" s="14">
        <v>1</v>
      </c>
      <c r="Q10" s="14">
        <v>1</v>
      </c>
      <c r="R10">
        <f t="shared" si="2"/>
        <v>0</v>
      </c>
      <c r="S10">
        <f t="shared" si="3"/>
        <v>1428</v>
      </c>
      <c r="T10">
        <f t="shared" si="4"/>
        <v>1633</v>
      </c>
      <c r="U10">
        <f t="shared" si="5"/>
        <v>2289</v>
      </c>
      <c r="V10">
        <f t="shared" si="6"/>
        <v>0</v>
      </c>
      <c r="W10">
        <f t="shared" si="7"/>
        <v>123</v>
      </c>
      <c r="X10">
        <f t="shared" si="8"/>
        <v>140</v>
      </c>
      <c r="Y10">
        <f t="shared" si="9"/>
        <v>197</v>
      </c>
      <c r="Z10" s="15">
        <v>151</v>
      </c>
      <c r="AA10" s="14">
        <v>180</v>
      </c>
      <c r="AB10" s="14">
        <v>237</v>
      </c>
      <c r="AC10">
        <v>0.95</v>
      </c>
      <c r="AD10">
        <v>0.95</v>
      </c>
      <c r="AE10">
        <v>0.95</v>
      </c>
      <c r="AF10">
        <f t="shared" si="10"/>
        <v>165</v>
      </c>
      <c r="AG10">
        <f t="shared" si="10"/>
        <v>197</v>
      </c>
      <c r="AH10">
        <f t="shared" ref="AH10:AH14" si="17">ROUND(AB10*POWER((($AB$1-$AB$2)/LN(($AB$1-$AB$3)/($AB$2-$AB$3)))/((16-18)/LN((16-27)/(18-27))),AE10),0)</f>
        <v>260</v>
      </c>
      <c r="AI10">
        <f t="shared" si="11"/>
        <v>71</v>
      </c>
      <c r="AJ10">
        <f t="shared" si="12"/>
        <v>85</v>
      </c>
      <c r="AK10">
        <f t="shared" si="13"/>
        <v>112</v>
      </c>
      <c r="AL10" s="125">
        <v>1.4</v>
      </c>
      <c r="AM10" s="17">
        <v>10.1</v>
      </c>
      <c r="AN10" s="17">
        <v>10.9</v>
      </c>
      <c r="AO10" s="17">
        <v>13.1</v>
      </c>
      <c r="AQ10">
        <v>0</v>
      </c>
      <c r="AR10" t="s">
        <v>102</v>
      </c>
      <c r="AS10" t="s">
        <v>102</v>
      </c>
      <c r="AT10" t="s">
        <v>102</v>
      </c>
      <c r="AV10">
        <f t="shared" ref="AV10:AX14" si="18">IF(1/(1+((2258*((0.622/((101325/(1*611*EXP(17.27*((($AB$1+$AB$2)/2)/((($AB$1+$AB$2)/2)+237.3))))))-1)*1000-(0.622/((101325/($AF$1*611*EXP(17.27*($AB$3/($AB$3+237.3))))))-1)*1000))/(1005*((($AB$1+$AB$2)/2)-$AB$3))))&gt;1,1,1/(1+((2258*((0.622/((101325/(1*611*EXP(17.27*((($AB$1+$AB$2)/2)/((($AB$1+$AB$2)/2)+237.3))))))-1)*1000-(0.622/((101325/($AF$1*611*EXP(17.27*($AB$3/($AB$3+237.3))))))-1)*1000))/(1005*((($AB$1+$AB$2)/2)-$AB$3)))))</f>
        <v>1</v>
      </c>
      <c r="AW10">
        <f t="shared" si="18"/>
        <v>1</v>
      </c>
      <c r="AX10">
        <f t="shared" si="18"/>
        <v>1</v>
      </c>
      <c r="AY10">
        <f t="shared" si="15"/>
        <v>165</v>
      </c>
      <c r="AZ10">
        <f t="shared" si="15"/>
        <v>197</v>
      </c>
      <c r="BA10">
        <f t="shared" si="15"/>
        <v>260</v>
      </c>
      <c r="BC10">
        <f t="shared" si="16"/>
        <v>0</v>
      </c>
      <c r="BD10">
        <f t="shared" si="16"/>
        <v>0</v>
      </c>
      <c r="BE10">
        <f t="shared" si="16"/>
        <v>0</v>
      </c>
      <c r="BF10">
        <f t="shared" ref="BF10:BF14" si="19">IF(SUM(BC10:BE10)=0,1,0)</f>
        <v>1</v>
      </c>
    </row>
    <row r="11" spans="1:59" x14ac:dyDescent="0.25">
      <c r="A11" t="str">
        <f t="shared" ref="A11:A14" si="20">CONCATENATE(B11,C11,D11)</f>
        <v>200658</v>
      </c>
      <c r="B11">
        <v>200</v>
      </c>
      <c r="C11">
        <v>65</v>
      </c>
      <c r="D11">
        <v>8</v>
      </c>
      <c r="E11">
        <f>IF('Vertiga Hybrid'!$J$5=data!$K$20,9.2,IF('Vertiga Hybrid'!$J$5=data!$K$21,11.5,""))</f>
        <v>9.1999999999999993</v>
      </c>
      <c r="F11">
        <v>0</v>
      </c>
      <c r="G11">
        <v>26</v>
      </c>
      <c r="H11">
        <v>30</v>
      </c>
      <c r="I11" s="17">
        <v>39.9</v>
      </c>
      <c r="J11" s="15">
        <v>0</v>
      </c>
      <c r="K11" s="14">
        <v>1641</v>
      </c>
      <c r="L11" s="14">
        <v>1872</v>
      </c>
      <c r="M11" s="14">
        <v>3042</v>
      </c>
      <c r="N11">
        <v>0</v>
      </c>
      <c r="O11" s="14">
        <v>1</v>
      </c>
      <c r="P11" s="14">
        <v>1</v>
      </c>
      <c r="Q11" s="14">
        <v>1</v>
      </c>
      <c r="R11">
        <f t="shared" si="2"/>
        <v>0</v>
      </c>
      <c r="S11">
        <f t="shared" si="3"/>
        <v>1641</v>
      </c>
      <c r="T11">
        <f t="shared" si="4"/>
        <v>1872</v>
      </c>
      <c r="U11">
        <f t="shared" si="5"/>
        <v>3042</v>
      </c>
      <c r="V11">
        <f t="shared" si="6"/>
        <v>0</v>
      </c>
      <c r="W11">
        <f t="shared" si="7"/>
        <v>141</v>
      </c>
      <c r="X11">
        <f t="shared" si="8"/>
        <v>161</v>
      </c>
      <c r="Y11">
        <f t="shared" si="9"/>
        <v>262</v>
      </c>
      <c r="Z11" s="15">
        <v>180</v>
      </c>
      <c r="AA11" s="14">
        <v>210</v>
      </c>
      <c r="AB11" s="14">
        <v>304</v>
      </c>
      <c r="AC11">
        <v>0.95</v>
      </c>
      <c r="AD11">
        <v>0.95</v>
      </c>
      <c r="AE11">
        <v>0.95</v>
      </c>
      <c r="AF11">
        <f t="shared" si="10"/>
        <v>197</v>
      </c>
      <c r="AG11">
        <f t="shared" si="10"/>
        <v>230</v>
      </c>
      <c r="AH11">
        <f t="shared" si="17"/>
        <v>333</v>
      </c>
      <c r="AI11">
        <f t="shared" si="11"/>
        <v>85</v>
      </c>
      <c r="AJ11">
        <f t="shared" si="12"/>
        <v>99</v>
      </c>
      <c r="AK11">
        <f t="shared" si="13"/>
        <v>143</v>
      </c>
      <c r="AL11" s="125">
        <v>1.4</v>
      </c>
      <c r="AM11" s="17">
        <v>10.6</v>
      </c>
      <c r="AN11" s="17">
        <v>13.6</v>
      </c>
      <c r="AO11" s="17">
        <v>17.8</v>
      </c>
      <c r="AQ11">
        <v>0</v>
      </c>
      <c r="AR11" t="s">
        <v>102</v>
      </c>
      <c r="AS11" t="s">
        <v>102</v>
      </c>
      <c r="AT11" t="s">
        <v>102</v>
      </c>
      <c r="AV11">
        <f t="shared" si="18"/>
        <v>1</v>
      </c>
      <c r="AW11">
        <f t="shared" si="18"/>
        <v>1</v>
      </c>
      <c r="AX11">
        <f t="shared" si="18"/>
        <v>1</v>
      </c>
      <c r="AY11">
        <f t="shared" si="15"/>
        <v>197</v>
      </c>
      <c r="AZ11">
        <f t="shared" si="15"/>
        <v>230</v>
      </c>
      <c r="BA11">
        <f t="shared" si="15"/>
        <v>333</v>
      </c>
      <c r="BC11">
        <f t="shared" si="16"/>
        <v>0</v>
      </c>
      <c r="BD11">
        <f t="shared" si="16"/>
        <v>0</v>
      </c>
      <c r="BE11">
        <f t="shared" si="16"/>
        <v>0</v>
      </c>
      <c r="BF11">
        <f t="shared" si="19"/>
        <v>1</v>
      </c>
    </row>
    <row r="12" spans="1:59" x14ac:dyDescent="0.25">
      <c r="A12" t="str">
        <f t="shared" si="20"/>
        <v>2005312</v>
      </c>
      <c r="B12">
        <v>200</v>
      </c>
      <c r="C12">
        <v>53</v>
      </c>
      <c r="D12">
        <v>12</v>
      </c>
      <c r="E12">
        <f>IF('Vertiga Hybrid'!$J$5=data!$K$20,13.2,IF('Vertiga Hybrid'!$J$5=data!$K$21,15.8,""))</f>
        <v>13.2</v>
      </c>
      <c r="F12">
        <v>0</v>
      </c>
      <c r="G12">
        <v>26</v>
      </c>
      <c r="H12">
        <v>30</v>
      </c>
      <c r="I12" s="17">
        <v>38.700000000000003</v>
      </c>
      <c r="J12" s="15">
        <v>0</v>
      </c>
      <c r="K12" s="14">
        <v>2054</v>
      </c>
      <c r="L12" s="14">
        <v>2374</v>
      </c>
      <c r="M12" s="14">
        <v>2925</v>
      </c>
      <c r="N12">
        <v>0</v>
      </c>
      <c r="O12" s="14">
        <v>1</v>
      </c>
      <c r="P12" s="14">
        <v>1</v>
      </c>
      <c r="Q12" s="14">
        <v>1</v>
      </c>
      <c r="R12">
        <f t="shared" si="2"/>
        <v>0</v>
      </c>
      <c r="S12">
        <f t="shared" si="3"/>
        <v>2054</v>
      </c>
      <c r="T12">
        <f t="shared" si="4"/>
        <v>2374</v>
      </c>
      <c r="U12">
        <f>ROUND(M12*POWER((($L$1-$L$2)/LN(($L$1-$L$3)/($L$2-$L$3)))/((75-65)/LN((75-20)/(65-20))),Q12),0)</f>
        <v>2925</v>
      </c>
      <c r="V12">
        <f t="shared" si="6"/>
        <v>0</v>
      </c>
      <c r="W12">
        <f t="shared" si="7"/>
        <v>177</v>
      </c>
      <c r="X12">
        <f t="shared" si="8"/>
        <v>204</v>
      </c>
      <c r="Y12">
        <f t="shared" si="9"/>
        <v>252</v>
      </c>
      <c r="Z12" s="15">
        <v>230</v>
      </c>
      <c r="AA12" s="14">
        <v>281</v>
      </c>
      <c r="AB12" s="14">
        <v>410</v>
      </c>
      <c r="AC12">
        <v>0.95</v>
      </c>
      <c r="AD12">
        <v>0.95</v>
      </c>
      <c r="AE12">
        <v>0.95</v>
      </c>
      <c r="AF12">
        <f t="shared" si="10"/>
        <v>252</v>
      </c>
      <c r="AG12">
        <f t="shared" si="10"/>
        <v>308</v>
      </c>
      <c r="AH12">
        <f t="shared" si="17"/>
        <v>449</v>
      </c>
      <c r="AI12">
        <f t="shared" si="11"/>
        <v>108</v>
      </c>
      <c r="AJ12">
        <f t="shared" si="12"/>
        <v>132</v>
      </c>
      <c r="AK12">
        <f t="shared" si="13"/>
        <v>193</v>
      </c>
      <c r="AL12" s="125">
        <v>2.4</v>
      </c>
      <c r="AM12" s="17">
        <v>9.1999999999999993</v>
      </c>
      <c r="AN12" s="17">
        <v>9.9</v>
      </c>
      <c r="AO12" s="17">
        <v>11.7</v>
      </c>
      <c r="AQ12">
        <v>0</v>
      </c>
      <c r="AR12" t="s">
        <v>102</v>
      </c>
      <c r="AS12" t="s">
        <v>102</v>
      </c>
      <c r="AT12" t="s">
        <v>102</v>
      </c>
      <c r="AV12">
        <f t="shared" si="18"/>
        <v>1</v>
      </c>
      <c r="AW12">
        <f t="shared" si="18"/>
        <v>1</v>
      </c>
      <c r="AX12">
        <f t="shared" si="18"/>
        <v>1</v>
      </c>
      <c r="AY12">
        <f t="shared" si="15"/>
        <v>252</v>
      </c>
      <c r="AZ12">
        <f t="shared" si="15"/>
        <v>308</v>
      </c>
      <c r="BA12">
        <f t="shared" si="15"/>
        <v>449</v>
      </c>
      <c r="BC12">
        <f t="shared" si="16"/>
        <v>0</v>
      </c>
      <c r="BD12">
        <f t="shared" si="16"/>
        <v>0</v>
      </c>
      <c r="BE12">
        <f t="shared" si="16"/>
        <v>0</v>
      </c>
      <c r="BF12">
        <f t="shared" si="19"/>
        <v>1</v>
      </c>
    </row>
    <row r="13" spans="1:59" x14ac:dyDescent="0.25">
      <c r="A13" t="str">
        <f t="shared" si="20"/>
        <v>2007012</v>
      </c>
      <c r="B13">
        <v>200</v>
      </c>
      <c r="C13">
        <v>70</v>
      </c>
      <c r="D13">
        <v>12</v>
      </c>
      <c r="E13">
        <f>IF('Vertiga Hybrid'!$J$5=data!$K$20,13.2,IF('Vertiga Hybrid'!$J$5=data!$K$21,15.8,""))</f>
        <v>13.2</v>
      </c>
      <c r="F13">
        <v>0</v>
      </c>
      <c r="G13">
        <v>26</v>
      </c>
      <c r="H13">
        <v>30</v>
      </c>
      <c r="I13" s="17">
        <v>40.799999999999997</v>
      </c>
      <c r="J13" s="15">
        <v>0</v>
      </c>
      <c r="K13" s="14">
        <v>2941</v>
      </c>
      <c r="L13" s="14">
        <v>3808</v>
      </c>
      <c r="M13" s="14">
        <v>4362</v>
      </c>
      <c r="N13">
        <v>0</v>
      </c>
      <c r="O13" s="14">
        <v>1</v>
      </c>
      <c r="P13" s="14">
        <v>1</v>
      </c>
      <c r="Q13" s="14">
        <v>1</v>
      </c>
      <c r="R13">
        <f t="shared" si="2"/>
        <v>0</v>
      </c>
      <c r="S13">
        <f t="shared" si="3"/>
        <v>2941</v>
      </c>
      <c r="T13">
        <f t="shared" si="4"/>
        <v>3808</v>
      </c>
      <c r="U13">
        <f t="shared" si="5"/>
        <v>4362</v>
      </c>
      <c r="V13">
        <f t="shared" si="6"/>
        <v>0</v>
      </c>
      <c r="W13">
        <f t="shared" si="7"/>
        <v>253</v>
      </c>
      <c r="X13">
        <f t="shared" si="8"/>
        <v>327</v>
      </c>
      <c r="Y13">
        <f t="shared" si="9"/>
        <v>375</v>
      </c>
      <c r="Z13" s="15">
        <v>477</v>
      </c>
      <c r="AA13" s="14">
        <v>578</v>
      </c>
      <c r="AB13" s="14">
        <v>918</v>
      </c>
      <c r="AC13">
        <v>0.95</v>
      </c>
      <c r="AD13">
        <v>0.95</v>
      </c>
      <c r="AE13">
        <v>0.95</v>
      </c>
      <c r="AF13">
        <f t="shared" si="10"/>
        <v>522</v>
      </c>
      <c r="AG13">
        <f t="shared" si="10"/>
        <v>633</v>
      </c>
      <c r="AH13">
        <f t="shared" si="17"/>
        <v>1006</v>
      </c>
      <c r="AI13">
        <f t="shared" si="11"/>
        <v>224</v>
      </c>
      <c r="AJ13">
        <f t="shared" si="12"/>
        <v>272</v>
      </c>
      <c r="AK13">
        <f t="shared" si="13"/>
        <v>433</v>
      </c>
      <c r="AL13" s="125">
        <v>2.4</v>
      </c>
      <c r="AM13" s="17">
        <v>14</v>
      </c>
      <c r="AN13" s="17">
        <v>16</v>
      </c>
      <c r="AO13" s="17">
        <v>19.3</v>
      </c>
      <c r="AQ13">
        <v>0</v>
      </c>
      <c r="AR13" t="s">
        <v>102</v>
      </c>
      <c r="AS13" t="s">
        <v>102</v>
      </c>
      <c r="AT13" t="s">
        <v>102</v>
      </c>
      <c r="AV13">
        <f t="shared" si="18"/>
        <v>1</v>
      </c>
      <c r="AW13">
        <f t="shared" si="18"/>
        <v>1</v>
      </c>
      <c r="AX13">
        <f t="shared" si="18"/>
        <v>1</v>
      </c>
      <c r="AY13">
        <f t="shared" si="15"/>
        <v>522</v>
      </c>
      <c r="AZ13">
        <f t="shared" si="15"/>
        <v>633</v>
      </c>
      <c r="BA13">
        <f t="shared" si="15"/>
        <v>1006</v>
      </c>
      <c r="BC13">
        <f t="shared" si="16"/>
        <v>0</v>
      </c>
      <c r="BD13">
        <f t="shared" si="16"/>
        <v>0</v>
      </c>
      <c r="BE13">
        <f t="shared" si="16"/>
        <v>0</v>
      </c>
      <c r="BF13">
        <f t="shared" si="19"/>
        <v>1</v>
      </c>
    </row>
    <row r="14" spans="1:59" x14ac:dyDescent="0.25">
      <c r="A14" t="str">
        <f t="shared" si="20"/>
        <v>2009012</v>
      </c>
      <c r="B14">
        <v>200</v>
      </c>
      <c r="C14">
        <v>90</v>
      </c>
      <c r="D14">
        <v>12</v>
      </c>
      <c r="E14">
        <f>IF('Vertiga Hybrid'!$J$5=data!$K$20,13.2,IF('Vertiga Hybrid'!$J$5=data!$K$21,15.8,""))</f>
        <v>13.2</v>
      </c>
      <c r="F14">
        <v>0</v>
      </c>
      <c r="G14">
        <v>26</v>
      </c>
      <c r="H14">
        <v>30</v>
      </c>
      <c r="I14" s="17">
        <v>42.9</v>
      </c>
      <c r="J14" s="15">
        <v>0</v>
      </c>
      <c r="K14" s="14">
        <v>3461</v>
      </c>
      <c r="L14" s="14">
        <v>4758</v>
      </c>
      <c r="M14" s="14">
        <v>5605</v>
      </c>
      <c r="N14">
        <v>0</v>
      </c>
      <c r="O14" s="14">
        <v>1</v>
      </c>
      <c r="P14" s="14">
        <v>1</v>
      </c>
      <c r="Q14" s="14">
        <v>1</v>
      </c>
      <c r="R14">
        <f t="shared" si="2"/>
        <v>0</v>
      </c>
      <c r="S14">
        <f t="shared" si="3"/>
        <v>3461</v>
      </c>
      <c r="T14">
        <f t="shared" si="4"/>
        <v>4758</v>
      </c>
      <c r="U14">
        <f t="shared" si="5"/>
        <v>5605</v>
      </c>
      <c r="V14">
        <f t="shared" si="6"/>
        <v>0</v>
      </c>
      <c r="W14">
        <f t="shared" si="7"/>
        <v>298</v>
      </c>
      <c r="X14">
        <f t="shared" si="8"/>
        <v>409</v>
      </c>
      <c r="Y14">
        <f t="shared" si="9"/>
        <v>482</v>
      </c>
      <c r="Z14" s="15">
        <v>717</v>
      </c>
      <c r="AA14" s="14">
        <v>859</v>
      </c>
      <c r="AB14" s="14">
        <v>1464</v>
      </c>
      <c r="AC14">
        <v>0.95</v>
      </c>
      <c r="AD14">
        <v>0.95</v>
      </c>
      <c r="AE14">
        <v>0.95</v>
      </c>
      <c r="AF14">
        <f t="shared" si="10"/>
        <v>785</v>
      </c>
      <c r="AG14">
        <f t="shared" si="10"/>
        <v>941</v>
      </c>
      <c r="AH14">
        <f t="shared" si="17"/>
        <v>1604</v>
      </c>
      <c r="AI14">
        <f t="shared" si="11"/>
        <v>338</v>
      </c>
      <c r="AJ14">
        <f t="shared" si="12"/>
        <v>405</v>
      </c>
      <c r="AK14">
        <f t="shared" si="13"/>
        <v>690</v>
      </c>
      <c r="AL14" s="125">
        <v>2.4</v>
      </c>
      <c r="AM14" s="17">
        <v>19.8</v>
      </c>
      <c r="AN14" s="17">
        <v>22.7</v>
      </c>
      <c r="AO14" s="17">
        <v>27.9</v>
      </c>
      <c r="AQ14">
        <v>0</v>
      </c>
      <c r="AR14" t="s">
        <v>102</v>
      </c>
      <c r="AS14" t="s">
        <v>102</v>
      </c>
      <c r="AT14" t="s">
        <v>102</v>
      </c>
      <c r="AV14">
        <f>IF(1/(1+((2258*((0.622/((101325/(1*611*EXP(17.27*((($AB$1+$AB$2)/2)/((($AB$1+$AB$2)/2)+237.3))))))-1)*1000-(0.622/((101325/($AF$1*611*EXP(17.27*($AB$3/($AB$3+237.3))))))-1)*1000))/(1005*((($AB$1+$AB$2)/2)-$AB$3))))&gt;1,1,1/(1+((2258*((0.622/((101325/(1*611*EXP(17.27*((($AB$1+$AB$2)/2)/((($AB$1+$AB$2)/2)+237.3))))))-1)*1000-(0.622/((101325/($AF$1*611*EXP(17.27*($AB$3/($AB$3+237.3))))))-1)*1000))/(1005*((($AB$1+$AB$2)/2)-$AB$3)))))</f>
        <v>1</v>
      </c>
      <c r="AW14">
        <f t="shared" si="18"/>
        <v>1</v>
      </c>
      <c r="AX14">
        <f t="shared" si="18"/>
        <v>1</v>
      </c>
      <c r="AY14">
        <f t="shared" si="15"/>
        <v>785</v>
      </c>
      <c r="AZ14">
        <f t="shared" si="15"/>
        <v>941</v>
      </c>
      <c r="BA14">
        <f t="shared" si="15"/>
        <v>1604</v>
      </c>
      <c r="BC14">
        <f t="shared" si="16"/>
        <v>0</v>
      </c>
      <c r="BD14">
        <f t="shared" si="16"/>
        <v>0</v>
      </c>
      <c r="BE14">
        <f t="shared" si="16"/>
        <v>0</v>
      </c>
      <c r="BF14">
        <f t="shared" si="19"/>
        <v>1</v>
      </c>
    </row>
    <row r="15" spans="1:59" x14ac:dyDescent="0.25">
      <c r="AK15" s="16"/>
      <c r="AL15" s="16"/>
    </row>
    <row r="17" spans="9:39" x14ac:dyDescent="0.25">
      <c r="AK17" s="16"/>
      <c r="AL17" s="16"/>
      <c r="AM17"/>
    </row>
    <row r="18" spans="9:39" x14ac:dyDescent="0.25">
      <c r="L18" t="s">
        <v>18</v>
      </c>
      <c r="M18" t="s">
        <v>19</v>
      </c>
      <c r="N18" t="s">
        <v>2</v>
      </c>
      <c r="AK18" s="16"/>
      <c r="AL18" s="16"/>
      <c r="AM18"/>
    </row>
    <row r="19" spans="9:39" x14ac:dyDescent="0.25">
      <c r="K19" s="1" t="s">
        <v>20</v>
      </c>
      <c r="L19" s="1"/>
      <c r="M19" s="1"/>
      <c r="N19" s="1"/>
      <c r="AK19" s="16"/>
      <c r="AL19" s="16"/>
      <c r="AM19"/>
    </row>
    <row r="20" spans="9:39" x14ac:dyDescent="0.25">
      <c r="K20" t="s">
        <v>100</v>
      </c>
      <c r="L20">
        <f>IF('Vertiga Hybrid'!$L$6=8,41,IF('Vertiga Hybrid'!$L$6=12,53,""))</f>
        <v>53</v>
      </c>
      <c r="M20">
        <v>200</v>
      </c>
      <c r="N20">
        <v>8</v>
      </c>
      <c r="AK20" s="16"/>
      <c r="AL20" s="16"/>
      <c r="AM20"/>
    </row>
    <row r="21" spans="9:39" x14ac:dyDescent="0.25">
      <c r="K21" t="s">
        <v>101</v>
      </c>
      <c r="L21">
        <f>IF('Vertiga Hybrid'!$L$6=8,52,IF('Vertiga Hybrid'!$L$6=12,70,""))</f>
        <v>70</v>
      </c>
      <c r="N21">
        <v>12</v>
      </c>
      <c r="AK21" s="16"/>
      <c r="AL21" s="16"/>
      <c r="AM21"/>
    </row>
    <row r="22" spans="9:39" x14ac:dyDescent="0.25">
      <c r="L22">
        <f>IF('Vertiga Hybrid'!$L$6=8,65,IF('Vertiga Hybrid'!$L$6=12,90,""))</f>
        <v>90</v>
      </c>
      <c r="AK22" s="16"/>
      <c r="AL22" s="16"/>
      <c r="AM22"/>
    </row>
    <row r="23" spans="9:39" x14ac:dyDescent="0.25">
      <c r="AK23" s="16"/>
      <c r="AL23" s="16"/>
      <c r="AM23"/>
    </row>
    <row r="24" spans="9:39" x14ac:dyDescent="0.25">
      <c r="AK24" s="16"/>
      <c r="AL24" s="16"/>
      <c r="AM24"/>
    </row>
    <row r="25" spans="9:39" x14ac:dyDescent="0.25">
      <c r="I25" s="16"/>
      <c r="J25"/>
      <c r="K25" t="str">
        <f>IF($P$38=1,NL!I3,IF($P$38=2,EN!I3,IF($P$38=3,FR!I3,IF($P$38=4,DE!I3,IF($P$38=5,NR!I3,IF($P$38=6,SP!I3,IF($P$38=7,SW!I3,IF($P$38=8,TS!I3,IF($P$38=9,ExtraTaal1!I3,IF($P$38=10,ExtraTaal2!I3,IF($P$38=11,ExtraTaal3!I3,)))))))))))</f>
        <v>Copy all data</v>
      </c>
      <c r="P25" t="s">
        <v>27</v>
      </c>
      <c r="Y25" s="16"/>
      <c r="Z25"/>
      <c r="AK25" s="16"/>
      <c r="AL25" s="16"/>
      <c r="AM25"/>
    </row>
    <row r="26" spans="9:39" x14ac:dyDescent="0.25">
      <c r="I26" s="16"/>
      <c r="J26"/>
      <c r="K26" t="str">
        <f>IF($P$38=1,NL!I4,IF($P$38=2,EN!I4,IF($P$38=3,FR!I4,IF($P$38=4,DE!I4,IF($P$38=5,NR!I4,IF($P$38=6,SP!I4,IF($P$38=7,SW!I4,IF($P$38=8,TS!I4,IF($P$38=9,ExtraTaal1!I4,IF($P$38=10,ExtraTaal2!I4,IF($P$38=11,ExtraTaal3!I4,)))))))))))</f>
        <v>SI-units</v>
      </c>
      <c r="P26" t="s">
        <v>28</v>
      </c>
      <c r="Y26" s="16"/>
      <c r="Z26"/>
      <c r="AK26" s="16"/>
      <c r="AL26" s="16"/>
      <c r="AM26"/>
    </row>
    <row r="27" spans="9:39" x14ac:dyDescent="0.25">
      <c r="I27" s="16"/>
      <c r="J27"/>
      <c r="K27" t="str">
        <f>IF($P$38=1,NL!I5,IF($P$38=2,EN!I5,IF($P$38=3,FR!I5,IF($P$38=4,DE!I5,IF($P$38=5,NR!I5,IF($P$38=6,SP!I5,IF($P$38=7,SW!I5,IF($P$38=8,TS!I5,IF($P$38=9,ExtraTaal1!I5,IF($P$38=10,ExtraTaal2!I5,IF($P$38=11,ExtraTaal3!I5,)))))))))))</f>
        <v>Imperial-units</v>
      </c>
      <c r="P27" t="s">
        <v>29</v>
      </c>
      <c r="Y27" s="16"/>
      <c r="Z27"/>
      <c r="AK27" s="16"/>
      <c r="AL27" s="16"/>
      <c r="AM27"/>
    </row>
    <row r="28" spans="9:39" x14ac:dyDescent="0.25">
      <c r="I28" s="16"/>
      <c r="J28"/>
      <c r="P28" t="s">
        <v>30</v>
      </c>
      <c r="Y28" s="16"/>
      <c r="Z28"/>
      <c r="AK28" s="16"/>
      <c r="AL28" s="16"/>
      <c r="AM28"/>
    </row>
    <row r="29" spans="9:39" x14ac:dyDescent="0.25">
      <c r="I29" s="16"/>
      <c r="J29"/>
      <c r="P29" t="s">
        <v>238</v>
      </c>
      <c r="Y29" s="16"/>
      <c r="Z29"/>
      <c r="AK29" s="16"/>
      <c r="AL29" s="16"/>
      <c r="AM29"/>
    </row>
    <row r="30" spans="9:39" x14ac:dyDescent="0.25">
      <c r="I30" s="16"/>
      <c r="J30"/>
      <c r="P30" t="s">
        <v>239</v>
      </c>
      <c r="Y30" s="16"/>
      <c r="Z30"/>
      <c r="AK30" s="16"/>
      <c r="AL30" s="16"/>
      <c r="AM30"/>
    </row>
    <row r="31" spans="9:39" x14ac:dyDescent="0.25">
      <c r="I31" s="16"/>
      <c r="J31"/>
      <c r="P31" t="s">
        <v>326</v>
      </c>
      <c r="R31">
        <v>1</v>
      </c>
      <c r="Y31" s="16"/>
      <c r="Z31"/>
      <c r="AK31" s="16"/>
      <c r="AL31" s="16"/>
      <c r="AM31"/>
    </row>
    <row r="32" spans="9:39" x14ac:dyDescent="0.25">
      <c r="I32" s="16"/>
      <c r="J32"/>
      <c r="P32" t="s">
        <v>327</v>
      </c>
      <c r="Y32" s="16"/>
      <c r="Z32"/>
      <c r="AK32" s="16"/>
      <c r="AL32" s="16"/>
      <c r="AM32"/>
    </row>
    <row r="33" spans="9:39" x14ac:dyDescent="0.25">
      <c r="I33" s="16"/>
      <c r="J33"/>
      <c r="P33" t="s">
        <v>328</v>
      </c>
      <c r="Y33" s="16"/>
      <c r="Z33"/>
      <c r="AK33" s="16"/>
      <c r="AL33" s="16"/>
      <c r="AM33"/>
    </row>
    <row r="34" spans="9:39" x14ac:dyDescent="0.25">
      <c r="P34" t="s">
        <v>329</v>
      </c>
      <c r="AK34" s="16"/>
      <c r="AL34" s="16"/>
      <c r="AM34"/>
    </row>
    <row r="35" spans="9:39" x14ac:dyDescent="0.25">
      <c r="P35" t="s">
        <v>330</v>
      </c>
      <c r="AK35" s="16"/>
      <c r="AL35" s="16"/>
    </row>
    <row r="38" spans="9:39" x14ac:dyDescent="0.25">
      <c r="P38">
        <f>IF('Vertiga Hybrid'!J4=data!$P$25,1,IF('Vertiga Hybrid'!J4=data!$P$26,2,IF('Vertiga Hybrid'!J4=data!$P$27,4,IF('Vertiga Hybrid'!J4=data!$P$28,3,IF('Vertiga Hybrid'!J4=data!$P$29,5,IF('Vertiga Hybrid'!J4=data!$P$30,6,IF('Vertiga Hybrid'!J4=data!$P$31,7,IF('Vertiga Hybrid'!J4=data!$P$32,8,IF('Vertiga Hybrid'!J4=data!$P$33,9,IF('Vertiga Hybrid'!J4=data!$P$34,10,IF('Vertiga Hybrid'!J4=data!$P$35,11,)))))))))))</f>
        <v>2</v>
      </c>
    </row>
  </sheetData>
  <sheetProtection selectLockedCells="1"/>
  <mergeCells count="4">
    <mergeCell ref="AV7:AX7"/>
    <mergeCell ref="AY7:BA7"/>
    <mergeCell ref="BC7:BE7"/>
    <mergeCell ref="BF7:BG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J37"/>
  <sheetViews>
    <sheetView workbookViewId="0">
      <selection activeCell="F5" sqref="F5:I5"/>
    </sheetView>
  </sheetViews>
  <sheetFormatPr defaultColWidth="0" defaultRowHeight="0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83"/>
      <c r="D1" s="183"/>
      <c r="E1" s="183"/>
      <c r="F1" s="183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ht="15" x14ac:dyDescent="0.25">
      <c r="A3" s="42"/>
      <c r="B3" s="44" t="s">
        <v>45</v>
      </c>
      <c r="C3" s="13"/>
      <c r="D3" s="45" t="s">
        <v>21</v>
      </c>
      <c r="E3" s="120" t="s">
        <v>76</v>
      </c>
      <c r="F3" s="42" t="s">
        <v>219</v>
      </c>
      <c r="G3" s="42" t="s">
        <v>240</v>
      </c>
      <c r="H3" s="42" t="s">
        <v>106</v>
      </c>
      <c r="I3" s="42" t="s">
        <v>246</v>
      </c>
      <c r="J3" s="42"/>
    </row>
    <row r="4" spans="1:10" ht="15" x14ac:dyDescent="0.25">
      <c r="A4" s="42"/>
      <c r="B4" s="46" t="s">
        <v>46</v>
      </c>
      <c r="C4" s="12"/>
      <c r="D4" s="47" t="str">
        <f>D3</f>
        <v>mm</v>
      </c>
      <c r="E4" s="42" t="s">
        <v>220</v>
      </c>
      <c r="F4" s="42" t="s">
        <v>221</v>
      </c>
      <c r="G4" s="42" t="s">
        <v>222</v>
      </c>
      <c r="H4" s="42" t="s">
        <v>247</v>
      </c>
      <c r="I4" s="42" t="s">
        <v>248</v>
      </c>
      <c r="J4" s="42"/>
    </row>
    <row r="5" spans="1:10" ht="15" x14ac:dyDescent="0.25">
      <c r="A5" s="42"/>
      <c r="B5" s="46" t="s">
        <v>40</v>
      </c>
      <c r="C5" s="12"/>
      <c r="D5" s="47"/>
      <c r="E5" s="42" t="s">
        <v>80</v>
      </c>
      <c r="F5" s="42" t="s">
        <v>112</v>
      </c>
      <c r="G5" s="42" t="s">
        <v>223</v>
      </c>
      <c r="H5" s="42"/>
      <c r="I5" s="42" t="s">
        <v>249</v>
      </c>
      <c r="J5" s="42"/>
    </row>
    <row r="6" spans="1:10" ht="15.75" thickBot="1" x14ac:dyDescent="0.3">
      <c r="A6" s="42"/>
      <c r="B6" s="48" t="s">
        <v>47</v>
      </c>
      <c r="C6" s="49"/>
      <c r="D6" s="50" t="str">
        <f>D3</f>
        <v>mm</v>
      </c>
      <c r="E6" s="42" t="s">
        <v>250</v>
      </c>
      <c r="F6" s="42" t="s">
        <v>224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225</v>
      </c>
      <c r="C8" s="52"/>
      <c r="D8" s="53"/>
      <c r="E8" s="54"/>
      <c r="F8" s="55"/>
      <c r="G8" s="56" t="s">
        <v>226</v>
      </c>
      <c r="H8" s="55"/>
      <c r="I8" s="57"/>
      <c r="J8" s="42"/>
    </row>
    <row r="9" spans="1:10" ht="15" x14ac:dyDescent="0.25">
      <c r="A9" s="42"/>
      <c r="B9" s="58" t="s">
        <v>227</v>
      </c>
      <c r="C9" s="12"/>
      <c r="D9" s="59"/>
      <c r="E9" s="184" t="str">
        <f>B9</f>
        <v>Water aanvoer</v>
      </c>
      <c r="F9" s="185"/>
      <c r="G9" s="185"/>
      <c r="H9" s="12"/>
      <c r="I9" s="60">
        <f>D9</f>
        <v>0</v>
      </c>
      <c r="J9" s="42"/>
    </row>
    <row r="10" spans="1:10" ht="15" x14ac:dyDescent="0.25">
      <c r="A10" s="42"/>
      <c r="B10" s="58" t="s">
        <v>228</v>
      </c>
      <c r="C10" s="12"/>
      <c r="D10" s="59"/>
      <c r="E10" s="184" t="str">
        <f>B10</f>
        <v>Water retour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229</v>
      </c>
      <c r="C11" s="12"/>
      <c r="D11" s="59"/>
      <c r="E11" s="184" t="str">
        <f>B11</f>
        <v>Ruimte (droge bol)</v>
      </c>
      <c r="F11" s="185"/>
      <c r="G11" s="185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ht="15" customHeight="1" x14ac:dyDescent="0.25">
      <c r="A13" s="42"/>
      <c r="B13" s="43"/>
      <c r="C13" s="186" t="str">
        <f>CONCATENATE(B8," ",C9,"/",C10,"/",C11)</f>
        <v>Verwarmen: //</v>
      </c>
      <c r="D13" s="187"/>
      <c r="E13" s="188" t="str">
        <f>CONCATENATE(G8," ",H9,"/",H10,"/",H11)</f>
        <v>Koelen: //</v>
      </c>
      <c r="F13" s="189"/>
      <c r="G13" s="176" t="s">
        <v>230</v>
      </c>
      <c r="H13" s="176" t="s">
        <v>56</v>
      </c>
      <c r="I13" s="176" t="s">
        <v>231</v>
      </c>
      <c r="J13" s="176" t="s">
        <v>232</v>
      </c>
    </row>
    <row r="14" spans="1:10" s="11" customFormat="1" ht="144.94999999999999" customHeight="1" thickBot="1" x14ac:dyDescent="0.3">
      <c r="A14" s="66"/>
      <c r="B14" s="66"/>
      <c r="C14" s="67" t="s">
        <v>233</v>
      </c>
      <c r="D14" s="68" t="s">
        <v>234</v>
      </c>
      <c r="E14" s="69" t="s">
        <v>235</v>
      </c>
      <c r="F14" s="70" t="str">
        <f>D14</f>
        <v>Waterdebiet</v>
      </c>
      <c r="G14" s="177"/>
      <c r="H14" s="177"/>
      <c r="I14" s="177"/>
      <c r="J14" s="177"/>
    </row>
    <row r="15" spans="1:10" ht="15.75" thickBot="1" x14ac:dyDescent="0.3">
      <c r="A15" s="178" t="s">
        <v>48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customHeight="1" x14ac:dyDescent="0.25">
      <c r="A16" s="180" t="s">
        <v>23</v>
      </c>
      <c r="B16" s="71" t="s">
        <v>68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49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50</v>
      </c>
      <c r="C18" s="35"/>
      <c r="D18" s="36"/>
      <c r="E18" s="37"/>
      <c r="F18" s="38"/>
      <c r="G18" s="39"/>
      <c r="H18" s="40"/>
      <c r="I18" s="41"/>
      <c r="J18" s="42"/>
    </row>
    <row r="19" spans="1:10" ht="15" x14ac:dyDescent="0.25">
      <c r="A19" s="42"/>
      <c r="B19" s="43" t="s">
        <v>72</v>
      </c>
      <c r="C19" s="42"/>
      <c r="D19" s="42"/>
      <c r="E19" s="42"/>
      <c r="F19" s="42"/>
      <c r="G19" s="42"/>
      <c r="H19" s="42"/>
      <c r="I19" s="74"/>
      <c r="J19" s="42"/>
    </row>
    <row r="20" spans="1:10" ht="15" x14ac:dyDescent="0.25">
      <c r="A20" s="75" t="s">
        <v>24</v>
      </c>
      <c r="B20" s="76" t="s">
        <v>236</v>
      </c>
      <c r="C20" s="42"/>
      <c r="D20" s="42"/>
      <c r="E20" s="42"/>
      <c r="F20" s="42"/>
      <c r="G20" s="42"/>
      <c r="H20" s="42"/>
      <c r="I20" s="42"/>
      <c r="J20" s="42"/>
    </row>
    <row r="21" spans="1:10" ht="15" x14ac:dyDescent="0.25">
      <c r="A21" s="75" t="s">
        <v>25</v>
      </c>
      <c r="B21" s="76" t="s">
        <v>60</v>
      </c>
      <c r="C21" s="42"/>
      <c r="D21" s="42"/>
      <c r="E21" s="42"/>
      <c r="F21" s="42"/>
      <c r="G21" s="42"/>
      <c r="H21" s="42"/>
      <c r="I21" s="42"/>
      <c r="J21" s="42"/>
    </row>
    <row r="22" spans="1:10" ht="15" x14ac:dyDescent="0.25">
      <c r="A22" s="75" t="s">
        <v>59</v>
      </c>
      <c r="B22" s="76" t="s">
        <v>61</v>
      </c>
      <c r="C22" s="42"/>
      <c r="D22" s="42"/>
      <c r="E22" s="42"/>
      <c r="F22" s="42"/>
      <c r="G22" s="42"/>
      <c r="H22" s="42"/>
      <c r="I22" s="42"/>
      <c r="J22" s="42"/>
    </row>
    <row r="23" spans="1:10" ht="15" hidden="1" x14ac:dyDescent="0.25"/>
    <row r="24" spans="1:10" ht="15" hidden="1" x14ac:dyDescent="0.25"/>
    <row r="25" spans="1:10" ht="15" hidden="1" x14ac:dyDescent="0.25"/>
    <row r="26" spans="1:10" ht="15" hidden="1" x14ac:dyDescent="0.25"/>
    <row r="27" spans="1:10" ht="15" hidden="1" x14ac:dyDescent="0.25"/>
    <row r="28" spans="1:10" ht="15" hidden="1" x14ac:dyDescent="0.25"/>
    <row r="29" spans="1:10" ht="15" hidden="1" x14ac:dyDescent="0.25"/>
    <row r="30" spans="1:10" ht="15" hidden="1" x14ac:dyDescent="0.25"/>
    <row r="31" spans="1:10" ht="15" hidden="1" x14ac:dyDescent="0.25"/>
    <row r="32" spans="1:10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G13:G14"/>
    <mergeCell ref="H13:H14"/>
    <mergeCell ref="A15:B15"/>
  </mergeCells>
  <phoneticPr fontId="1" type="noConversion"/>
  <dataValidations count="6">
    <dataValidation type="decimal" operator="lessThan" allowBlank="1" showInputMessage="1" showErrorMessage="1" error="room air temperature must be lower than water temperature" sqref="C11" xr:uid="{00000000-0002-0000-0200-000000000000}">
      <formula1>C10</formula1>
    </dataValidation>
    <dataValidation type="decimal" operator="lessThan" allowBlank="1" showInputMessage="1" showErrorMessage="1" error="return must be lower than inlet" sqref="C10" xr:uid="{00000000-0002-0000-0200-000001000000}">
      <formula1>C9</formula1>
    </dataValidation>
    <dataValidation type="decimal" operator="lessThanOrEqual" allowBlank="1" showInputMessage="1" showErrorMessage="1" error="water temperature max 95°C" sqref="C9" xr:uid="{00000000-0002-0000-02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200-000003000000}">
      <formula1>H10</formula1>
    </dataValidation>
    <dataValidation type="decimal" operator="greaterThan" allowBlank="1" showInputMessage="1" showErrorMessage="1" error="return must be higher than inlet" sqref="H10" xr:uid="{00000000-0002-0000-0200-000004000000}">
      <formula1>H9</formula1>
    </dataValidation>
    <dataValidation type="decimal" operator="greaterThan" allowBlank="1" showInputMessage="1" showErrorMessage="1" error="value must be higher than 15" sqref="H9" xr:uid="{00000000-0002-0000-02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38</v>
      </c>
      <c r="C3" s="13"/>
      <c r="D3" s="45" t="s">
        <v>21</v>
      </c>
      <c r="E3" s="120" t="s">
        <v>77</v>
      </c>
      <c r="F3" s="42" t="s">
        <v>201</v>
      </c>
      <c r="G3" s="42" t="s">
        <v>241</v>
      </c>
      <c r="H3" s="42" t="s">
        <v>106</v>
      </c>
      <c r="I3" s="42" t="s">
        <v>251</v>
      </c>
      <c r="J3" s="42"/>
    </row>
    <row r="4" spans="1:10" x14ac:dyDescent="0.25">
      <c r="A4" s="42"/>
      <c r="B4" s="46" t="s">
        <v>39</v>
      </c>
      <c r="C4" s="12"/>
      <c r="D4" s="47" t="str">
        <f>D3</f>
        <v>mm</v>
      </c>
      <c r="E4" s="42" t="s">
        <v>164</v>
      </c>
      <c r="F4" s="42" t="s">
        <v>202</v>
      </c>
      <c r="G4" s="42" t="s">
        <v>203</v>
      </c>
      <c r="H4" s="42" t="s">
        <v>247</v>
      </c>
      <c r="I4" s="42" t="s">
        <v>252</v>
      </c>
      <c r="J4" s="42"/>
    </row>
    <row r="5" spans="1:10" x14ac:dyDescent="0.25">
      <c r="A5" s="42"/>
      <c r="B5" s="46" t="s">
        <v>40</v>
      </c>
      <c r="C5" s="12"/>
      <c r="D5" s="47"/>
      <c r="E5" s="42" t="s">
        <v>81</v>
      </c>
      <c r="F5" s="42" t="s">
        <v>112</v>
      </c>
      <c r="G5" s="42" t="s">
        <v>204</v>
      </c>
      <c r="H5" s="42"/>
      <c r="I5" s="42" t="s">
        <v>253</v>
      </c>
      <c r="J5" s="42"/>
    </row>
    <row r="6" spans="1:10" ht="15.75" thickBot="1" x14ac:dyDescent="0.3">
      <c r="A6" s="42"/>
      <c r="B6" s="48" t="s">
        <v>41</v>
      </c>
      <c r="C6" s="49"/>
      <c r="D6" s="50" t="str">
        <f>D3</f>
        <v>mm</v>
      </c>
      <c r="E6" s="42" t="s">
        <v>254</v>
      </c>
      <c r="F6" s="42" t="s">
        <v>205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206</v>
      </c>
      <c r="C8" s="52"/>
      <c r="D8" s="53"/>
      <c r="E8" s="54"/>
      <c r="F8" s="55"/>
      <c r="G8" s="56" t="s">
        <v>207</v>
      </c>
      <c r="H8" s="55"/>
      <c r="I8" s="57"/>
      <c r="J8" s="42"/>
    </row>
    <row r="9" spans="1:10" x14ac:dyDescent="0.25">
      <c r="A9" s="42"/>
      <c r="B9" s="58" t="s">
        <v>208</v>
      </c>
      <c r="C9" s="12"/>
      <c r="D9" s="59"/>
      <c r="E9" s="184" t="str">
        <f>B9</f>
        <v>Supply water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209</v>
      </c>
      <c r="C10" s="12"/>
      <c r="D10" s="59"/>
      <c r="E10" s="184" t="str">
        <f>B10</f>
        <v>Return water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210</v>
      </c>
      <c r="C11" s="12"/>
      <c r="D11" s="59"/>
      <c r="E11" s="184" t="str">
        <f>B11</f>
        <v>Entering air (dry bulb)</v>
      </c>
      <c r="F11" s="185"/>
      <c r="G11" s="191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x14ac:dyDescent="0.25">
      <c r="A13" s="42"/>
      <c r="B13" s="43"/>
      <c r="C13" s="186" t="str">
        <f>CONCATENATE(B8," ",C9,"/",C10,"/",C11)</f>
        <v>Heating: //</v>
      </c>
      <c r="D13" s="192"/>
      <c r="E13" s="188" t="str">
        <f>CONCATENATE(G8," ",H9,"/",H10,"/",H11)</f>
        <v>Cooling: //</v>
      </c>
      <c r="F13" s="189"/>
      <c r="G13" s="176" t="s">
        <v>211</v>
      </c>
      <c r="H13" s="176" t="s">
        <v>55</v>
      </c>
      <c r="I13" s="176" t="s">
        <v>212</v>
      </c>
      <c r="J13" s="176" t="s">
        <v>213</v>
      </c>
    </row>
    <row r="14" spans="1:10" s="11" customFormat="1" ht="144.94999999999999" customHeight="1" thickBot="1" x14ac:dyDescent="0.3">
      <c r="A14" s="66"/>
      <c r="B14" s="66"/>
      <c r="C14" s="67" t="s">
        <v>214</v>
      </c>
      <c r="D14" s="68" t="s">
        <v>215</v>
      </c>
      <c r="E14" s="69" t="s">
        <v>216</v>
      </c>
      <c r="F14" s="70" t="str">
        <f>D14</f>
        <v>Water flow</v>
      </c>
      <c r="G14" s="177"/>
      <c r="H14" s="177"/>
      <c r="I14" s="177"/>
      <c r="J14" s="177"/>
    </row>
    <row r="15" spans="1:10" ht="15.75" thickBot="1" x14ac:dyDescent="0.3">
      <c r="A15" s="178" t="s">
        <v>42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x14ac:dyDescent="0.25">
      <c r="A16" s="180" t="s">
        <v>23</v>
      </c>
      <c r="B16" s="71" t="s">
        <v>217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43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44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73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218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65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62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H13:H14"/>
    <mergeCell ref="G13:G14"/>
    <mergeCell ref="A15:B15"/>
  </mergeCells>
  <dataValidations count="6">
    <dataValidation type="decimal" operator="greaterThan" allowBlank="1" showInputMessage="1" showErrorMessage="1" error="value must be higher than 15" sqref="H9" xr:uid="{00000000-0002-0000-0300-000000000000}">
      <formula1>14.9</formula1>
    </dataValidation>
    <dataValidation type="decimal" operator="greaterThan" allowBlank="1" showInputMessage="1" showErrorMessage="1" error="return must be higher than inlet" sqref="H10" xr:uid="{00000000-0002-0000-03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300-000002000000}">
      <formula1>H10</formula1>
    </dataValidation>
    <dataValidation type="decimal" operator="lessThanOrEqual" allowBlank="1" showInputMessage="1" showErrorMessage="1" error="water temperature max 95°C" sqref="C9" xr:uid="{00000000-0002-0000-0300-000003000000}">
      <formula1>95</formula1>
    </dataValidation>
    <dataValidation type="decimal" operator="lessThan" allowBlank="1" showInputMessage="1" showErrorMessage="1" error="return must be lower than inlet" sqref="C10" xr:uid="{00000000-0002-0000-03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3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57</v>
      </c>
      <c r="C3" s="13"/>
      <c r="D3" s="45" t="s">
        <v>21</v>
      </c>
      <c r="E3" s="120" t="s">
        <v>79</v>
      </c>
      <c r="F3" t="s">
        <v>162</v>
      </c>
      <c r="G3" s="42" t="s">
        <v>242</v>
      </c>
      <c r="H3" s="42" t="s">
        <v>163</v>
      </c>
      <c r="I3" s="42" t="s">
        <v>255</v>
      </c>
      <c r="J3" s="42"/>
    </row>
    <row r="4" spans="1:10" x14ac:dyDescent="0.25">
      <c r="A4" s="42"/>
      <c r="B4" s="46" t="s">
        <v>58</v>
      </c>
      <c r="C4" s="12"/>
      <c r="D4" s="47" t="str">
        <f>D3</f>
        <v>mm</v>
      </c>
      <c r="E4" s="42" t="s">
        <v>164</v>
      </c>
      <c r="F4" s="42" t="s">
        <v>165</v>
      </c>
      <c r="G4" t="s">
        <v>166</v>
      </c>
      <c r="H4" s="42" t="s">
        <v>247</v>
      </c>
      <c r="I4" s="42" t="s">
        <v>256</v>
      </c>
      <c r="J4" s="42"/>
    </row>
    <row r="5" spans="1:10" x14ac:dyDescent="0.25">
      <c r="A5" s="42"/>
      <c r="B5" s="46" t="s">
        <v>40</v>
      </c>
      <c r="C5" s="12"/>
      <c r="D5" s="47"/>
      <c r="E5" s="42" t="s">
        <v>82</v>
      </c>
      <c r="F5" s="42" t="s">
        <v>112</v>
      </c>
      <c r="G5" s="42" t="s">
        <v>167</v>
      </c>
      <c r="H5" s="42"/>
      <c r="I5" s="42" t="s">
        <v>257</v>
      </c>
      <c r="J5" s="42"/>
    </row>
    <row r="6" spans="1:10" ht="15.75" thickBot="1" x14ac:dyDescent="0.3">
      <c r="A6" s="42"/>
      <c r="B6" s="48" t="s">
        <v>258</v>
      </c>
      <c r="C6" s="49"/>
      <c r="D6" s="50" t="str">
        <f>D3</f>
        <v>mm</v>
      </c>
      <c r="E6" s="42" t="s">
        <v>259</v>
      </c>
      <c r="F6" s="42" t="s">
        <v>168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169</v>
      </c>
      <c r="C8" s="52"/>
      <c r="D8" s="53"/>
      <c r="E8" s="54"/>
      <c r="F8" s="55"/>
      <c r="G8" s="56" t="s">
        <v>170</v>
      </c>
      <c r="H8" s="55"/>
      <c r="I8" s="57"/>
      <c r="J8" s="42"/>
    </row>
    <row r="9" spans="1:10" x14ac:dyDescent="0.25">
      <c r="A9" s="42"/>
      <c r="B9" s="58" t="s">
        <v>171</v>
      </c>
      <c r="C9" s="12"/>
      <c r="D9" s="59"/>
      <c r="E9" s="184" t="str">
        <f>B9</f>
        <v>Entrée de l'eau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172</v>
      </c>
      <c r="C10" s="12"/>
      <c r="D10" s="59"/>
      <c r="E10" s="184" t="str">
        <f>B10</f>
        <v>Retour de l'eau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173</v>
      </c>
      <c r="C11" s="12"/>
      <c r="D11" s="59"/>
      <c r="E11" s="184" t="str">
        <f>B11</f>
        <v>Ambiante (bulbe sec)</v>
      </c>
      <c r="F11" s="185"/>
      <c r="G11" s="191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x14ac:dyDescent="0.25">
      <c r="A13" s="42"/>
      <c r="B13" s="43"/>
      <c r="C13" s="186" t="str">
        <f>CONCATENATE(B8," ",C9,"/",C10,"/",C11)</f>
        <v>Chauffer: //</v>
      </c>
      <c r="D13" s="192"/>
      <c r="E13" s="188" t="str">
        <f>CONCATENATE(G8," ",H9,"/",H10,"/",H11)</f>
        <v>Refroidir: //</v>
      </c>
      <c r="F13" s="189"/>
      <c r="G13" s="176" t="s">
        <v>174</v>
      </c>
      <c r="H13" s="176" t="s">
        <v>54</v>
      </c>
      <c r="I13" s="176" t="s">
        <v>175</v>
      </c>
      <c r="J13" s="176" t="s">
        <v>176</v>
      </c>
    </row>
    <row r="14" spans="1:10" s="11" customFormat="1" ht="144.94999999999999" customHeight="1" thickBot="1" x14ac:dyDescent="0.3">
      <c r="A14" s="66"/>
      <c r="B14" s="66"/>
      <c r="C14" s="67" t="s">
        <v>177</v>
      </c>
      <c r="D14" s="68" t="s">
        <v>178</v>
      </c>
      <c r="E14" s="69" t="s">
        <v>179</v>
      </c>
      <c r="F14" s="70" t="str">
        <f>D14</f>
        <v>Débit d'eau</v>
      </c>
      <c r="G14" s="177"/>
      <c r="H14" s="177"/>
      <c r="I14" s="177"/>
      <c r="J14" s="177"/>
    </row>
    <row r="15" spans="1:10" ht="15.75" thickBot="1" x14ac:dyDescent="0.3">
      <c r="A15" s="178" t="s">
        <v>53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x14ac:dyDescent="0.25">
      <c r="A16" s="180" t="s">
        <v>23</v>
      </c>
      <c r="B16" s="71" t="s">
        <v>70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52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51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74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180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66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63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H13:H14"/>
    <mergeCell ref="G13:G14"/>
    <mergeCell ref="A15:B15"/>
  </mergeCells>
  <dataValidations count="6">
    <dataValidation type="decimal" operator="lessThan" allowBlank="1" showInputMessage="1" showErrorMessage="1" error="room air temperature must be lower than water temperature" sqref="C11" xr:uid="{00000000-0002-0000-0400-000000000000}">
      <formula1>C10</formula1>
    </dataValidation>
    <dataValidation type="decimal" operator="lessThan" allowBlank="1" showInputMessage="1" showErrorMessage="1" error="return must be lower than inlet" sqref="C10" xr:uid="{00000000-0002-0000-0400-000001000000}">
      <formula1>C9</formula1>
    </dataValidation>
    <dataValidation type="decimal" operator="lessThanOrEqual" allowBlank="1" showInputMessage="1" showErrorMessage="1" error="water temperature max 95°C" sqref="C9" xr:uid="{00000000-0002-0000-04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400-000003000000}">
      <formula1>H10</formula1>
    </dataValidation>
    <dataValidation type="decimal" operator="greaterThan" allowBlank="1" showInputMessage="1" showErrorMessage="1" error="return must be higher than inlet" sqref="H10" xr:uid="{00000000-0002-0000-0400-000004000000}">
      <formula1>H9</formula1>
    </dataValidation>
    <dataValidation type="decimal" operator="greaterThan" allowBlank="1" showInputMessage="1" showErrorMessage="1" error="value must be higher than 15" sqref="H9" xr:uid="{00000000-0002-0000-04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83"/>
      <c r="D1" s="183"/>
      <c r="E1" s="183"/>
      <c r="F1" s="183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83</v>
      </c>
      <c r="C3" s="13"/>
      <c r="D3" s="45" t="s">
        <v>21</v>
      </c>
      <c r="E3" s="120" t="s">
        <v>78</v>
      </c>
      <c r="F3" t="s">
        <v>181</v>
      </c>
      <c r="G3" s="42" t="s">
        <v>243</v>
      </c>
      <c r="H3" s="42" t="s">
        <v>106</v>
      </c>
      <c r="I3" s="42" t="s">
        <v>260</v>
      </c>
      <c r="J3" s="42"/>
    </row>
    <row r="4" spans="1:10" x14ac:dyDescent="0.25">
      <c r="A4" s="42"/>
      <c r="B4" s="46" t="s">
        <v>32</v>
      </c>
      <c r="C4" s="12"/>
      <c r="D4" s="47" t="str">
        <f>D3</f>
        <v>mm</v>
      </c>
      <c r="E4" s="42" t="s">
        <v>182</v>
      </c>
      <c r="F4" s="42" t="s">
        <v>183</v>
      </c>
      <c r="G4" t="s">
        <v>184</v>
      </c>
      <c r="H4" s="42" t="s">
        <v>247</v>
      </c>
      <c r="I4" s="42" t="s">
        <v>261</v>
      </c>
      <c r="J4" s="42"/>
    </row>
    <row r="5" spans="1:10" x14ac:dyDescent="0.25">
      <c r="A5" s="42"/>
      <c r="B5" s="46" t="s">
        <v>33</v>
      </c>
      <c r="C5" s="12"/>
      <c r="D5" s="47"/>
      <c r="E5" s="42" t="s">
        <v>80</v>
      </c>
      <c r="F5" s="42" t="s">
        <v>185</v>
      </c>
      <c r="G5" s="42" t="s">
        <v>186</v>
      </c>
      <c r="H5" s="42"/>
      <c r="I5" s="42" t="s">
        <v>262</v>
      </c>
      <c r="J5" s="42"/>
    </row>
    <row r="6" spans="1:10" ht="15.75" thickBot="1" x14ac:dyDescent="0.3">
      <c r="A6" s="42"/>
      <c r="B6" s="48" t="s">
        <v>34</v>
      </c>
      <c r="C6" s="49">
        <v>11.5</v>
      </c>
      <c r="D6" s="50" t="str">
        <f>D3</f>
        <v>mm</v>
      </c>
      <c r="E6" s="42" t="s">
        <v>263</v>
      </c>
      <c r="F6" s="42" t="s">
        <v>187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188</v>
      </c>
      <c r="C8" s="52"/>
      <c r="D8" s="53"/>
      <c r="E8" s="54"/>
      <c r="F8" s="55"/>
      <c r="G8" s="56" t="s">
        <v>189</v>
      </c>
      <c r="H8" s="55"/>
      <c r="I8" s="57"/>
      <c r="J8" s="42"/>
    </row>
    <row r="9" spans="1:10" x14ac:dyDescent="0.25">
      <c r="A9" s="42"/>
      <c r="B9" s="58" t="s">
        <v>190</v>
      </c>
      <c r="C9" s="12"/>
      <c r="D9" s="59"/>
      <c r="E9" s="184" t="str">
        <f>B9</f>
        <v>Vorlauf wasser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191</v>
      </c>
      <c r="C10" s="12"/>
      <c r="D10" s="59"/>
      <c r="E10" s="184" t="str">
        <f>B10</f>
        <v>Rücklauf wasser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192</v>
      </c>
      <c r="C11" s="12"/>
      <c r="D11" s="59"/>
      <c r="E11" s="184" t="str">
        <f>B11</f>
        <v>Raum (trocken)</v>
      </c>
      <c r="F11" s="185"/>
      <c r="G11" s="185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ht="15" customHeight="1" x14ac:dyDescent="0.25">
      <c r="A13" s="42"/>
      <c r="B13" s="43"/>
      <c r="C13" s="186" t="str">
        <f>CONCATENATE(B8," ",C9,"/",C10,"/",C11)</f>
        <v>Heizen: //</v>
      </c>
      <c r="D13" s="187"/>
      <c r="E13" s="188" t="str">
        <f>CONCATENATE(G8," ",H9,"/",H10,"/",H11)</f>
        <v>Kühlen: //</v>
      </c>
      <c r="F13" s="189"/>
      <c r="G13" s="176" t="s">
        <v>193</v>
      </c>
      <c r="H13" s="176" t="s">
        <v>84</v>
      </c>
      <c r="I13" s="176" t="s">
        <v>194</v>
      </c>
      <c r="J13" s="176" t="s">
        <v>195</v>
      </c>
    </row>
    <row r="14" spans="1:10" s="11" customFormat="1" ht="144.94999999999999" customHeight="1" thickBot="1" x14ac:dyDescent="0.3">
      <c r="A14" s="66"/>
      <c r="B14" s="66"/>
      <c r="C14" s="67" t="s">
        <v>196</v>
      </c>
      <c r="D14" s="68" t="s">
        <v>197</v>
      </c>
      <c r="E14" s="69" t="s">
        <v>198</v>
      </c>
      <c r="F14" s="70" t="s">
        <v>199</v>
      </c>
      <c r="G14" s="177"/>
      <c r="H14" s="177"/>
      <c r="I14" s="177"/>
      <c r="J14" s="177"/>
    </row>
    <row r="15" spans="1:10" ht="15.75" thickBot="1" x14ac:dyDescent="0.3">
      <c r="A15" s="178" t="s">
        <v>35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customHeight="1" x14ac:dyDescent="0.25">
      <c r="A16" s="180" t="s">
        <v>23</v>
      </c>
      <c r="B16" s="71" t="s">
        <v>69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36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37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75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200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67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64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selectLockedCells="1"/>
  <mergeCells count="12">
    <mergeCell ref="A16:A18"/>
    <mergeCell ref="B1:F1"/>
    <mergeCell ref="E9:G9"/>
    <mergeCell ref="E10:G10"/>
    <mergeCell ref="E11:G11"/>
    <mergeCell ref="C13:D13"/>
    <mergeCell ref="E13:F13"/>
    <mergeCell ref="J13:J14"/>
    <mergeCell ref="I13:I14"/>
    <mergeCell ref="H13:H14"/>
    <mergeCell ref="G13:G14"/>
    <mergeCell ref="A15:B15"/>
  </mergeCells>
  <dataValidations count="6">
    <dataValidation type="decimal" operator="greaterThan" allowBlank="1" showInputMessage="1" showErrorMessage="1" error="value must be higher than 15" sqref="H9" xr:uid="{00000000-0002-0000-0500-000000000000}">
      <formula1>14.9</formula1>
    </dataValidation>
    <dataValidation type="decimal" operator="greaterThan" allowBlank="1" showInputMessage="1" showErrorMessage="1" error="return must be higher than inlet" sqref="H10" xr:uid="{00000000-0002-0000-05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500-000002000000}">
      <formula1>H10</formula1>
    </dataValidation>
    <dataValidation type="decimal" operator="lessThanOrEqual" allowBlank="1" showInputMessage="1" showErrorMessage="1" error="water temperature max 95°C" sqref="C9" xr:uid="{00000000-0002-0000-0500-000003000000}">
      <formula1>95</formula1>
    </dataValidation>
    <dataValidation type="decimal" operator="lessThan" allowBlank="1" showInputMessage="1" showErrorMessage="1" error="return must be lower than inlet" sqref="C10" xr:uid="{00000000-0002-0000-05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500-000005000000}">
      <formula1>C10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8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103</v>
      </c>
      <c r="C3" s="13"/>
      <c r="D3" s="45" t="s">
        <v>21</v>
      </c>
      <c r="E3" s="120" t="s">
        <v>104</v>
      </c>
      <c r="F3" t="s">
        <v>105</v>
      </c>
      <c r="G3" s="42" t="s">
        <v>244</v>
      </c>
      <c r="H3" s="42" t="s">
        <v>106</v>
      </c>
      <c r="I3" s="42" t="s">
        <v>264</v>
      </c>
      <c r="J3" s="42"/>
    </row>
    <row r="4" spans="1:10" x14ac:dyDescent="0.25">
      <c r="A4" s="42"/>
      <c r="B4" s="46" t="s">
        <v>107</v>
      </c>
      <c r="C4" s="12"/>
      <c r="D4" s="47" t="str">
        <f>D3</f>
        <v>mm</v>
      </c>
      <c r="E4" s="42" t="s">
        <v>108</v>
      </c>
      <c r="F4" s="42" t="s">
        <v>109</v>
      </c>
      <c r="G4" t="s">
        <v>110</v>
      </c>
      <c r="H4" s="42" t="s">
        <v>247</v>
      </c>
      <c r="I4" s="42" t="s">
        <v>265</v>
      </c>
      <c r="J4" s="42"/>
    </row>
    <row r="5" spans="1:10" x14ac:dyDescent="0.25">
      <c r="A5" s="42"/>
      <c r="B5" s="46" t="s">
        <v>40</v>
      </c>
      <c r="C5" s="12"/>
      <c r="D5" s="47"/>
      <c r="E5" s="42" t="s">
        <v>111</v>
      </c>
      <c r="F5" s="42" t="s">
        <v>112</v>
      </c>
      <c r="G5" s="42" t="s">
        <v>113</v>
      </c>
      <c r="H5" s="42"/>
      <c r="I5" s="42" t="s">
        <v>266</v>
      </c>
      <c r="J5" s="42"/>
    </row>
    <row r="6" spans="1:10" ht="15.75" thickBot="1" x14ac:dyDescent="0.3">
      <c r="A6" s="42"/>
      <c r="B6" s="48" t="s">
        <v>114</v>
      </c>
      <c r="C6" s="49"/>
      <c r="D6" s="50" t="str">
        <f>D3</f>
        <v>mm</v>
      </c>
      <c r="E6" s="42" t="s">
        <v>267</v>
      </c>
      <c r="F6" s="42" t="s">
        <v>115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116</v>
      </c>
      <c r="C8" s="52"/>
      <c r="D8" s="53"/>
      <c r="E8" s="54"/>
      <c r="F8" s="55"/>
      <c r="G8" s="56" t="s">
        <v>117</v>
      </c>
      <c r="H8" s="55"/>
      <c r="I8" s="57"/>
      <c r="J8" s="42"/>
    </row>
    <row r="9" spans="1:10" x14ac:dyDescent="0.25">
      <c r="A9" s="42"/>
      <c r="B9" s="58" t="s">
        <v>118</v>
      </c>
      <c r="C9" s="12"/>
      <c r="D9" s="59"/>
      <c r="E9" s="184" t="str">
        <f>B9</f>
        <v>Tur vann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119</v>
      </c>
      <c r="C10" s="12"/>
      <c r="D10" s="59"/>
      <c r="E10" s="184" t="str">
        <f>B10</f>
        <v>Retur vann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120</v>
      </c>
      <c r="C11" s="12"/>
      <c r="D11" s="59"/>
      <c r="E11" s="184" t="str">
        <f>B11</f>
        <v>Rom (tørr pære)</v>
      </c>
      <c r="F11" s="185"/>
      <c r="G11" s="191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x14ac:dyDescent="0.25">
      <c r="A13" s="42"/>
      <c r="B13" s="43"/>
      <c r="C13" s="186" t="str">
        <f>CONCATENATE(B8," ",C9,"/",C10,"/",C11)</f>
        <v>Varme: //</v>
      </c>
      <c r="D13" s="192"/>
      <c r="E13" s="188" t="str">
        <f>CONCATENATE(G8," ",H9,"/",H10,"/",H11)</f>
        <v>Kjøling: //</v>
      </c>
      <c r="F13" s="189"/>
      <c r="G13" s="176" t="s">
        <v>121</v>
      </c>
      <c r="H13" s="176" t="s">
        <v>122</v>
      </c>
      <c r="I13" s="176" t="s">
        <v>123</v>
      </c>
      <c r="J13" s="176" t="s">
        <v>124</v>
      </c>
    </row>
    <row r="14" spans="1:10" s="11" customFormat="1" ht="144.94999999999999" customHeight="1" thickBot="1" x14ac:dyDescent="0.3">
      <c r="A14" s="66"/>
      <c r="B14" s="66"/>
      <c r="C14" s="67" t="s">
        <v>125</v>
      </c>
      <c r="D14" s="68" t="s">
        <v>126</v>
      </c>
      <c r="E14" s="69" t="s">
        <v>127</v>
      </c>
      <c r="F14" s="70" t="str">
        <f>D14</f>
        <v>Vannmengde</v>
      </c>
      <c r="G14" s="177"/>
      <c r="H14" s="177"/>
      <c r="I14" s="177"/>
      <c r="J14" s="177"/>
    </row>
    <row r="15" spans="1:10" ht="15.75" thickBot="1" x14ac:dyDescent="0.3">
      <c r="A15" s="178" t="s">
        <v>35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x14ac:dyDescent="0.25">
      <c r="A16" s="180" t="s">
        <v>23</v>
      </c>
      <c r="B16" s="71" t="s">
        <v>128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36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37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129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130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131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132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lessThan" allowBlank="1" showInputMessage="1" showErrorMessage="1" error="room air temperature must be lower than water temperature" sqref="C11" xr:uid="{00000000-0002-0000-0600-000000000000}">
      <formula1>C10</formula1>
    </dataValidation>
    <dataValidation type="decimal" operator="lessThan" allowBlank="1" showInputMessage="1" showErrorMessage="1" error="return must be lower than inlet" sqref="C10" xr:uid="{00000000-0002-0000-0600-000001000000}">
      <formula1>C9</formula1>
    </dataValidation>
    <dataValidation type="decimal" operator="lessThanOrEqual" allowBlank="1" showInputMessage="1" showErrorMessage="1" error="water temperature max 95°C" sqref="C9" xr:uid="{00000000-0002-0000-06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600-000003000000}">
      <formula1>H10</formula1>
    </dataValidation>
    <dataValidation type="decimal" operator="greaterThan" allowBlank="1" showInputMessage="1" showErrorMessage="1" error="return must be higher than inlet" sqref="H10" xr:uid="{00000000-0002-0000-0600-000004000000}">
      <formula1>H9</formula1>
    </dataValidation>
    <dataValidation type="decimal" operator="greaterThan" allowBlank="1" showInputMessage="1" showErrorMessage="1" error="value must be higher than 15" sqref="H9" xr:uid="{00000000-0002-0000-06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9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90"/>
      <c r="D1" s="190"/>
      <c r="E1" s="190"/>
      <c r="F1" s="190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133</v>
      </c>
      <c r="C3" s="13"/>
      <c r="D3" s="45" t="s">
        <v>21</v>
      </c>
      <c r="E3" s="120" t="s">
        <v>77</v>
      </c>
      <c r="F3" s="42" t="s">
        <v>134</v>
      </c>
      <c r="G3" s="42" t="s">
        <v>245</v>
      </c>
      <c r="H3" s="42" t="s">
        <v>106</v>
      </c>
      <c r="I3" s="42" t="s">
        <v>268</v>
      </c>
      <c r="J3" s="42"/>
    </row>
    <row r="4" spans="1:10" x14ac:dyDescent="0.25">
      <c r="A4" s="42"/>
      <c r="B4" s="46" t="s">
        <v>135</v>
      </c>
      <c r="C4" s="12"/>
      <c r="D4" s="47" t="str">
        <f>D3</f>
        <v>mm</v>
      </c>
      <c r="E4" s="42" t="s">
        <v>136</v>
      </c>
      <c r="F4" s="42" t="s">
        <v>137</v>
      </c>
      <c r="G4" s="42" t="s">
        <v>138</v>
      </c>
      <c r="H4" s="42" t="s">
        <v>247</v>
      </c>
      <c r="I4" s="42" t="s">
        <v>269</v>
      </c>
      <c r="J4" s="42"/>
    </row>
    <row r="5" spans="1:10" x14ac:dyDescent="0.25">
      <c r="A5" s="42"/>
      <c r="B5" s="46" t="s">
        <v>139</v>
      </c>
      <c r="C5" s="12"/>
      <c r="D5" s="47"/>
      <c r="E5" s="42" t="s">
        <v>140</v>
      </c>
      <c r="F5" s="42" t="s">
        <v>141</v>
      </c>
      <c r="G5" s="42" t="s">
        <v>142</v>
      </c>
      <c r="H5" s="42"/>
      <c r="I5" s="42" t="s">
        <v>270</v>
      </c>
      <c r="J5" s="42"/>
    </row>
    <row r="6" spans="1:10" ht="15.75" thickBot="1" x14ac:dyDescent="0.3">
      <c r="A6" s="42"/>
      <c r="B6" s="48" t="s">
        <v>143</v>
      </c>
      <c r="C6" s="49"/>
      <c r="D6" s="50" t="str">
        <f>D3</f>
        <v>mm</v>
      </c>
      <c r="E6" s="42" t="s">
        <v>271</v>
      </c>
      <c r="F6" s="42" t="s">
        <v>144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145</v>
      </c>
      <c r="C8" s="52"/>
      <c r="D8" s="53"/>
      <c r="E8" s="54"/>
      <c r="F8" s="55"/>
      <c r="G8" s="56" t="s">
        <v>146</v>
      </c>
      <c r="H8" s="55"/>
      <c r="I8" s="57"/>
      <c r="J8" s="42"/>
    </row>
    <row r="9" spans="1:10" x14ac:dyDescent="0.25">
      <c r="A9" s="42"/>
      <c r="B9" s="58" t="s">
        <v>147</v>
      </c>
      <c r="C9" s="12"/>
      <c r="D9" s="59"/>
      <c r="E9" s="184" t="str">
        <f>B9</f>
        <v>Agua impulsión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148</v>
      </c>
      <c r="C10" s="12"/>
      <c r="D10" s="59"/>
      <c r="E10" s="184" t="str">
        <f>B10</f>
        <v>Agua retorno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149</v>
      </c>
      <c r="C11" s="12"/>
      <c r="D11" s="59"/>
      <c r="E11" s="184" t="str">
        <f>B11</f>
        <v>Ambiente (bulbo seco)</v>
      </c>
      <c r="F11" s="185"/>
      <c r="G11" s="191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x14ac:dyDescent="0.25">
      <c r="A13" s="42"/>
      <c r="B13" s="43"/>
      <c r="C13" s="186" t="str">
        <f>CONCATENATE(B8," ",C9,"/",C10,"/",C11)</f>
        <v>Calefacción: //</v>
      </c>
      <c r="D13" s="192"/>
      <c r="E13" s="188" t="str">
        <f>CONCATENATE(G8," ",H9,"/",H10,"/",H11)</f>
        <v>Enfriamiento: //</v>
      </c>
      <c r="F13" s="189"/>
      <c r="G13" s="176" t="s">
        <v>150</v>
      </c>
      <c r="H13" s="176" t="s">
        <v>151</v>
      </c>
      <c r="I13" s="176" t="s">
        <v>152</v>
      </c>
      <c r="J13" s="176" t="s">
        <v>153</v>
      </c>
    </row>
    <row r="14" spans="1:10" s="11" customFormat="1" ht="144.94999999999999" customHeight="1" thickBot="1" x14ac:dyDescent="0.3">
      <c r="A14" s="66"/>
      <c r="B14" s="66"/>
      <c r="C14" s="67" t="s">
        <v>154</v>
      </c>
      <c r="D14" s="68" t="s">
        <v>155</v>
      </c>
      <c r="E14" s="69" t="s">
        <v>156</v>
      </c>
      <c r="F14" s="70" t="str">
        <f>D14</f>
        <v>Caudal de agua, calefacción</v>
      </c>
      <c r="G14" s="177"/>
      <c r="H14" s="177"/>
      <c r="I14" s="177"/>
      <c r="J14" s="177"/>
    </row>
    <row r="15" spans="1:10" ht="15.75" thickBot="1" x14ac:dyDescent="0.3">
      <c r="A15" s="178" t="s">
        <v>42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x14ac:dyDescent="0.25">
      <c r="A16" s="180" t="s">
        <v>23</v>
      </c>
      <c r="B16" s="71" t="s">
        <v>157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43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44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158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159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160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161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selectLockedCells="1"/>
  <mergeCells count="12">
    <mergeCell ref="H13:H14"/>
    <mergeCell ref="I13:I14"/>
    <mergeCell ref="J13:J14"/>
    <mergeCell ref="A15:B15"/>
    <mergeCell ref="A16:A18"/>
    <mergeCell ref="B1:F1"/>
    <mergeCell ref="E9:G9"/>
    <mergeCell ref="E10:G10"/>
    <mergeCell ref="E11:G11"/>
    <mergeCell ref="C13:D13"/>
    <mergeCell ref="E13:F13"/>
    <mergeCell ref="G13:G14"/>
  </mergeCells>
  <dataValidations count="6">
    <dataValidation type="decimal" operator="lessThan" allowBlank="1" showInputMessage="1" showErrorMessage="1" error="room air temperature must be lower than water temperature" sqref="C11" xr:uid="{00000000-0002-0000-0700-000000000000}">
      <formula1>C10</formula1>
    </dataValidation>
    <dataValidation type="decimal" operator="lessThan" allowBlank="1" showInputMessage="1" showErrorMessage="1" error="return must be lower than inlet" sqref="C10" xr:uid="{00000000-0002-0000-0700-000001000000}">
      <formula1>C9</formula1>
    </dataValidation>
    <dataValidation type="decimal" operator="lessThanOrEqual" allowBlank="1" showInputMessage="1" showErrorMessage="1" error="water temperature max 95°C" sqref="C9" xr:uid="{00000000-0002-0000-0700-000002000000}">
      <formula1>95</formula1>
    </dataValidation>
    <dataValidation type="decimal" operator="greaterThan" allowBlank="1" showInputMessage="1" showErrorMessage="1" error="room temperature must be higher than watertemperature" sqref="H11" xr:uid="{00000000-0002-0000-0700-000003000000}">
      <formula1>H10</formula1>
    </dataValidation>
    <dataValidation type="decimal" operator="greaterThan" allowBlank="1" showInputMessage="1" showErrorMessage="1" error="return must be higher than inlet" sqref="H10" xr:uid="{00000000-0002-0000-0700-000004000000}">
      <formula1>H9</formula1>
    </dataValidation>
    <dataValidation type="decimal" operator="greaterThan" allowBlank="1" showInputMessage="1" showErrorMessage="1" error="value must be higher than 15" sqref="H9" xr:uid="{00000000-0002-0000-0700-000005000000}">
      <formula1>14.9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"/>
  <dimension ref="A1:J37"/>
  <sheetViews>
    <sheetView workbookViewId="0">
      <selection activeCell="F5" sqref="F5:I5"/>
    </sheetView>
  </sheetViews>
  <sheetFormatPr defaultColWidth="0" defaultRowHeight="15" customHeight="1" zeroHeight="1" x14ac:dyDescent="0.25"/>
  <cols>
    <col min="1" max="1" width="4.7109375" customWidth="1"/>
    <col min="2" max="2" width="25.85546875" style="10" customWidth="1"/>
    <col min="3" max="9" width="9.7109375" customWidth="1"/>
    <col min="10" max="10" width="4.7109375" customWidth="1"/>
    <col min="11" max="16384" width="8.85546875" hidden="1"/>
  </cols>
  <sheetData>
    <row r="1" spans="1:10" ht="31.5" x14ac:dyDescent="0.5">
      <c r="A1" s="42"/>
      <c r="B1" s="183" t="s">
        <v>31</v>
      </c>
      <c r="C1" s="183"/>
      <c r="D1" s="183"/>
      <c r="E1" s="183"/>
      <c r="F1" s="183"/>
      <c r="G1" s="42"/>
      <c r="H1" s="42"/>
      <c r="I1" s="42"/>
      <c r="J1" s="42"/>
    </row>
    <row r="2" spans="1:10" ht="15.75" thickBot="1" x14ac:dyDescent="0.3">
      <c r="A2" s="42"/>
      <c r="B2" s="43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4" t="s">
        <v>272</v>
      </c>
      <c r="C3" s="13"/>
      <c r="D3" s="45" t="s">
        <v>21</v>
      </c>
      <c r="E3" s="120" t="s">
        <v>104</v>
      </c>
      <c r="F3" s="42" t="s">
        <v>105</v>
      </c>
      <c r="G3" s="42" t="s">
        <v>273</v>
      </c>
      <c r="H3" s="42" t="s">
        <v>106</v>
      </c>
      <c r="I3" s="42" t="s">
        <v>274</v>
      </c>
      <c r="J3" s="42"/>
    </row>
    <row r="4" spans="1:10" x14ac:dyDescent="0.25">
      <c r="A4" s="42"/>
      <c r="B4" s="46" t="s">
        <v>275</v>
      </c>
      <c r="C4" s="12"/>
      <c r="D4" s="47" t="str">
        <f>D3</f>
        <v>mm</v>
      </c>
      <c r="E4" s="42" t="s">
        <v>276</v>
      </c>
      <c r="F4" s="42" t="s">
        <v>109</v>
      </c>
      <c r="G4" s="42" t="s">
        <v>110</v>
      </c>
      <c r="H4" s="42" t="s">
        <v>247</v>
      </c>
      <c r="I4" s="42" t="s">
        <v>265</v>
      </c>
      <c r="J4" s="42"/>
    </row>
    <row r="5" spans="1:10" x14ac:dyDescent="0.25">
      <c r="A5" s="42"/>
      <c r="B5" s="46" t="s">
        <v>33</v>
      </c>
      <c r="C5" s="12"/>
      <c r="D5" s="47"/>
      <c r="E5" s="42" t="s">
        <v>111</v>
      </c>
      <c r="F5" s="42" t="s">
        <v>185</v>
      </c>
      <c r="G5" s="42" t="s">
        <v>113</v>
      </c>
      <c r="H5" s="42"/>
      <c r="I5" s="42" t="s">
        <v>277</v>
      </c>
      <c r="J5" s="42"/>
    </row>
    <row r="6" spans="1:10" ht="15.75" thickBot="1" x14ac:dyDescent="0.3">
      <c r="A6" s="42"/>
      <c r="B6" s="48" t="s">
        <v>278</v>
      </c>
      <c r="C6" s="49"/>
      <c r="D6" s="50" t="str">
        <f>D3</f>
        <v>mm</v>
      </c>
      <c r="E6" s="76" t="s">
        <v>279</v>
      </c>
      <c r="F6" s="42" t="s">
        <v>280</v>
      </c>
      <c r="G6" s="42"/>
      <c r="H6" s="42"/>
      <c r="I6" s="42"/>
      <c r="J6" s="42"/>
    </row>
    <row r="7" spans="1:10" ht="15.75" thickBot="1" x14ac:dyDescent="0.3">
      <c r="A7" s="42"/>
      <c r="B7" s="43"/>
      <c r="C7" s="42"/>
      <c r="D7" s="42"/>
      <c r="E7" s="42"/>
      <c r="F7" s="42"/>
      <c r="G7" s="42"/>
      <c r="H7" s="42"/>
      <c r="I7" s="42"/>
      <c r="J7" s="42"/>
    </row>
    <row r="8" spans="1:10" ht="18.75" x14ac:dyDescent="0.3">
      <c r="A8" s="42"/>
      <c r="B8" s="51" t="s">
        <v>281</v>
      </c>
      <c r="C8" s="52"/>
      <c r="D8" s="53"/>
      <c r="E8" s="54"/>
      <c r="F8" s="55"/>
      <c r="G8" s="56" t="s">
        <v>282</v>
      </c>
      <c r="H8" s="55"/>
      <c r="I8" s="57"/>
      <c r="J8" s="42"/>
    </row>
    <row r="9" spans="1:10" x14ac:dyDescent="0.25">
      <c r="A9" s="42"/>
      <c r="B9" s="58" t="s">
        <v>283</v>
      </c>
      <c r="C9" s="12"/>
      <c r="D9" s="59"/>
      <c r="E9" s="184" t="str">
        <f>B9</f>
        <v>Tillopp</v>
      </c>
      <c r="F9" s="185"/>
      <c r="G9" s="185"/>
      <c r="H9" s="12"/>
      <c r="I9" s="60">
        <f>D9</f>
        <v>0</v>
      </c>
      <c r="J9" s="42"/>
    </row>
    <row r="10" spans="1:10" x14ac:dyDescent="0.25">
      <c r="A10" s="42"/>
      <c r="B10" s="58" t="s">
        <v>284</v>
      </c>
      <c r="C10" s="12"/>
      <c r="D10" s="59"/>
      <c r="E10" s="184" t="str">
        <f>B10</f>
        <v>Retur</v>
      </c>
      <c r="F10" s="185"/>
      <c r="G10" s="185"/>
      <c r="H10" s="12"/>
      <c r="I10" s="60">
        <f>D9</f>
        <v>0</v>
      </c>
      <c r="J10" s="42"/>
    </row>
    <row r="11" spans="1:10" ht="15.75" thickBot="1" x14ac:dyDescent="0.3">
      <c r="A11" s="42"/>
      <c r="B11" s="61" t="s">
        <v>285</v>
      </c>
      <c r="C11" s="12"/>
      <c r="D11" s="59"/>
      <c r="E11" s="184" t="str">
        <f>B11</f>
        <v>Rum (torr)</v>
      </c>
      <c r="F11" s="185"/>
      <c r="G11" s="185"/>
      <c r="H11" s="141"/>
      <c r="I11" s="62">
        <f>D9</f>
        <v>0</v>
      </c>
      <c r="J11" s="42"/>
    </row>
    <row r="12" spans="1:10" ht="15.75" thickBot="1" x14ac:dyDescent="0.3">
      <c r="A12" s="42"/>
      <c r="B12" s="43"/>
      <c r="C12" s="63"/>
      <c r="D12" s="64"/>
      <c r="E12" s="65"/>
      <c r="F12" s="60"/>
      <c r="G12" s="42"/>
      <c r="H12" s="42"/>
      <c r="I12" s="42"/>
      <c r="J12" s="42"/>
    </row>
    <row r="13" spans="1:10" ht="15" customHeight="1" x14ac:dyDescent="0.25">
      <c r="A13" s="42"/>
      <c r="B13" s="43"/>
      <c r="C13" s="186" t="str">
        <f>CONCATENATE(B8," ",C9,"/",C10,"/",C11)</f>
        <v>Värme: //</v>
      </c>
      <c r="D13" s="187"/>
      <c r="E13" s="188" t="str">
        <f>CONCATENATE(G8," ",H9,"/",H10,"/",H11)</f>
        <v>Kyla: //</v>
      </c>
      <c r="F13" s="189"/>
      <c r="G13" s="176" t="s">
        <v>286</v>
      </c>
      <c r="H13" s="176" t="s">
        <v>287</v>
      </c>
      <c r="I13" s="176" t="s">
        <v>288</v>
      </c>
      <c r="J13" s="176" t="s">
        <v>289</v>
      </c>
    </row>
    <row r="14" spans="1:10" s="11" customFormat="1" ht="144.94999999999999" customHeight="1" thickBot="1" x14ac:dyDescent="0.3">
      <c r="A14" s="66"/>
      <c r="B14" s="66"/>
      <c r="C14" s="67" t="s">
        <v>290</v>
      </c>
      <c r="D14" s="68" t="s">
        <v>291</v>
      </c>
      <c r="E14" s="69" t="s">
        <v>292</v>
      </c>
      <c r="F14" s="70" t="str">
        <f>D14</f>
        <v>Vattenflöde</v>
      </c>
      <c r="G14" s="177"/>
      <c r="H14" s="177"/>
      <c r="I14" s="177"/>
      <c r="J14" s="177"/>
    </row>
    <row r="15" spans="1:10" ht="15.75" thickBot="1" x14ac:dyDescent="0.3">
      <c r="A15" s="178" t="s">
        <v>42</v>
      </c>
      <c r="B15" s="179"/>
      <c r="C15" s="18"/>
      <c r="D15" s="19"/>
      <c r="E15" s="20"/>
      <c r="F15" s="21"/>
      <c r="G15" s="22"/>
      <c r="H15" s="23"/>
      <c r="I15" s="24"/>
      <c r="J15" s="42"/>
    </row>
    <row r="16" spans="1:10" ht="15.75" customHeight="1" x14ac:dyDescent="0.25">
      <c r="A16" s="180" t="s">
        <v>23</v>
      </c>
      <c r="B16" s="71" t="s">
        <v>293</v>
      </c>
      <c r="C16" s="25"/>
      <c r="D16" s="26"/>
      <c r="E16" s="27"/>
      <c r="F16" s="28"/>
      <c r="G16" s="29"/>
      <c r="H16" s="30"/>
      <c r="I16" s="31"/>
      <c r="J16" s="42"/>
    </row>
    <row r="17" spans="1:10" ht="15.75" x14ac:dyDescent="0.25">
      <c r="A17" s="181"/>
      <c r="B17" s="72" t="s">
        <v>43</v>
      </c>
      <c r="C17" s="137"/>
      <c r="D17" s="138"/>
      <c r="E17" s="139"/>
      <c r="F17" s="140"/>
      <c r="G17" s="32"/>
      <c r="H17" s="33"/>
      <c r="I17" s="34"/>
      <c r="J17" s="42"/>
    </row>
    <row r="18" spans="1:10" ht="16.5" thickBot="1" x14ac:dyDescent="0.3">
      <c r="A18" s="182"/>
      <c r="B18" s="73" t="s">
        <v>44</v>
      </c>
      <c r="C18" s="35"/>
      <c r="D18" s="36"/>
      <c r="E18" s="37"/>
      <c r="F18" s="38"/>
      <c r="G18" s="39"/>
      <c r="H18" s="40"/>
      <c r="I18" s="41"/>
      <c r="J18" s="42"/>
    </row>
    <row r="19" spans="1:10" x14ac:dyDescent="0.25">
      <c r="A19" s="42"/>
      <c r="B19" s="43" t="s">
        <v>294</v>
      </c>
      <c r="C19" s="42"/>
      <c r="D19" s="42"/>
      <c r="E19" s="42"/>
      <c r="F19" s="42"/>
      <c r="G19" s="42"/>
      <c r="H19" s="42"/>
      <c r="I19" s="74"/>
      <c r="J19" s="42"/>
    </row>
    <row r="20" spans="1:10" x14ac:dyDescent="0.25">
      <c r="A20" s="75" t="s">
        <v>24</v>
      </c>
      <c r="B20" s="76" t="s">
        <v>295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75" t="s">
        <v>25</v>
      </c>
      <c r="B21" s="76" t="s">
        <v>296</v>
      </c>
      <c r="C21" s="42"/>
      <c r="D21" s="42"/>
      <c r="E21" s="42"/>
      <c r="F21" s="42"/>
      <c r="G21" s="42"/>
      <c r="H21" s="42"/>
      <c r="I21" s="42"/>
      <c r="J21" s="42"/>
    </row>
    <row r="22" spans="1:10" x14ac:dyDescent="0.25">
      <c r="A22" s="75" t="s">
        <v>59</v>
      </c>
      <c r="B22" s="76" t="s">
        <v>297</v>
      </c>
      <c r="C22" s="42"/>
      <c r="D22" s="42"/>
      <c r="E22" s="42"/>
      <c r="F22" s="42"/>
      <c r="G22" s="42"/>
      <c r="H22" s="42"/>
      <c r="I22" s="42"/>
      <c r="J22" s="42"/>
    </row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12">
    <mergeCell ref="B1:F1"/>
    <mergeCell ref="E9:G9"/>
    <mergeCell ref="E10:G10"/>
    <mergeCell ref="E11:G11"/>
    <mergeCell ref="C13:D13"/>
    <mergeCell ref="E13:F13"/>
    <mergeCell ref="G13:G14"/>
    <mergeCell ref="H13:H14"/>
    <mergeCell ref="I13:I14"/>
    <mergeCell ref="J13:J14"/>
    <mergeCell ref="A15:B15"/>
    <mergeCell ref="A16:A18"/>
  </mergeCells>
  <dataValidations count="6">
    <dataValidation type="decimal" operator="greaterThan" allowBlank="1" showInputMessage="1" showErrorMessage="1" error="value must be higher than 15" sqref="H9" xr:uid="{00000000-0002-0000-0800-000000000000}">
      <formula1>14.9</formula1>
    </dataValidation>
    <dataValidation type="decimal" operator="greaterThan" allowBlank="1" showInputMessage="1" showErrorMessage="1" error="return must be higher than inlet" sqref="H10" xr:uid="{00000000-0002-0000-0800-000001000000}">
      <formula1>H9</formula1>
    </dataValidation>
    <dataValidation type="decimal" operator="greaterThan" allowBlank="1" showInputMessage="1" showErrorMessage="1" error="room temperature must be higher than watertemperature" sqref="H11" xr:uid="{00000000-0002-0000-0800-000002000000}">
      <formula1>H10</formula1>
    </dataValidation>
    <dataValidation type="decimal" operator="lessThanOrEqual" allowBlank="1" showInputMessage="1" showErrorMessage="1" error="water temperature max 95°C" sqref="C9" xr:uid="{00000000-0002-0000-0800-000003000000}">
      <formula1>95</formula1>
    </dataValidation>
    <dataValidation type="decimal" operator="lessThan" allowBlank="1" showInputMessage="1" showErrorMessage="1" error="return must be lower than inlet" sqref="C10" xr:uid="{00000000-0002-0000-0800-000004000000}">
      <formula1>C9</formula1>
    </dataValidation>
    <dataValidation type="decimal" operator="lessThan" allowBlank="1" showInputMessage="1" showErrorMessage="1" error="room air temperature must be lower than water temperature" sqref="C11" xr:uid="{00000000-0002-0000-0800-000005000000}">
      <formula1>C10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DD5C012A8454A83820A4004127A6F" ma:contentTypeVersion="11" ma:contentTypeDescription="Een nieuw document maken." ma:contentTypeScope="" ma:versionID="07e5dadcd93712eabc6e9fd12b46f9d6">
  <xsd:schema xmlns:xsd="http://www.w3.org/2001/XMLSchema" xmlns:xs="http://www.w3.org/2001/XMLSchema" xmlns:p="http://schemas.microsoft.com/office/2006/metadata/properties" xmlns:ns3="d353bb20-fdf4-464f-aa63-6459c456a1d3" xmlns:ns4="88222075-45cb-4b31-a08f-289af8a2a0b7" targetNamespace="http://schemas.microsoft.com/office/2006/metadata/properties" ma:root="true" ma:fieldsID="8b641300189226bdb475fdad847a317d" ns3:_="" ns4:_="">
    <xsd:import namespace="d353bb20-fdf4-464f-aa63-6459c456a1d3"/>
    <xsd:import namespace="88222075-45cb-4b31-a08f-289af8a2a0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3bb20-fdf4-464f-aa63-6459c456a1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22075-45cb-4b31-a08f-289af8a2a0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99D3E-FFFC-4DEF-A73D-AB16E4683DB7}">
  <ds:schemaRefs>
    <ds:schemaRef ds:uri="d353bb20-fdf4-464f-aa63-6459c456a1d3"/>
    <ds:schemaRef ds:uri="88222075-45cb-4b31-a08f-289af8a2a0b7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49BAC3-2D8C-4527-A69D-3EEDFB4EF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3bb20-fdf4-464f-aa63-6459c456a1d3"/>
    <ds:schemaRef ds:uri="88222075-45cb-4b31-a08f-289af8a2a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F68865-1ECE-4DD9-B01D-C241BEC468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Vertiga Hybrid</vt:lpstr>
      <vt:lpstr>data</vt:lpstr>
      <vt:lpstr>NL</vt:lpstr>
      <vt:lpstr>EN</vt:lpstr>
      <vt:lpstr>FR</vt:lpstr>
      <vt:lpstr>DE</vt:lpstr>
      <vt:lpstr>NR</vt:lpstr>
      <vt:lpstr>SP</vt:lpstr>
      <vt:lpstr>SW</vt:lpstr>
      <vt:lpstr>TS</vt:lpstr>
      <vt:lpstr>ExtraTaal1</vt:lpstr>
      <vt:lpstr>ExtraTaal2</vt:lpstr>
      <vt:lpstr>ExtraTaal3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Strada Hybrid</dc:subject>
  <dc:creator>THenson@jaga.be</dc:creator>
  <dc:description>UNINCRYPTED --- NOT FOR RETAIL!</dc:description>
  <cp:lastModifiedBy>Senne Swyns</cp:lastModifiedBy>
  <cp:lastPrinted>2021-04-19T08:21:16Z</cp:lastPrinted>
  <dcterms:created xsi:type="dcterms:W3CDTF">2019-10-09T08:21:22Z</dcterms:created>
  <dcterms:modified xsi:type="dcterms:W3CDTF">2022-09-30T10:56:34Z</dcterms:modified>
  <cp:category>Selectiontools</cp:category>
  <cp:contentStatus>UNINCRYPTED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0x010100CDBDD5C012A8454A83820A4004127A6F</vt:lpwstr>
  </property>
</Properties>
</file>